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072" windowHeight="7896" activeTab="1"/>
  </bookViews>
  <sheets>
    <sheet name="общ" sheetId="1" r:id="rId1"/>
    <sheet name="расчеты" sheetId="2" r:id="rId2"/>
    <sheet name="sigma" sheetId="3" r:id="rId3"/>
    <sheet name="Г(с)" sheetId="4" r:id="rId4"/>
    <sheet name="сГ" sheetId="5" r:id="rId5"/>
    <sheet name="с на Гуголь" sheetId="6" r:id="rId6"/>
    <sheet name="Лист3" sheetId="7" r:id="rId7"/>
    <sheet name="Лист2" sheetId="8" r:id="rId8"/>
  </sheets>
  <definedNames>
    <definedName name="_xlnm.Print_Area" localSheetId="0">'общ'!$A$1:$R$49</definedName>
    <definedName name="_xlnm.Print_Area" localSheetId="1">'расчеты'!$A$1:$P$88</definedName>
  </definedNames>
  <calcPr fullCalcOnLoad="1"/>
</workbook>
</file>

<file path=xl/sharedStrings.xml><?xml version="1.0" encoding="utf-8"?>
<sst xmlns="http://schemas.openxmlformats.org/spreadsheetml/2006/main" count="38" uniqueCount="38">
  <si>
    <t>N</t>
  </si>
  <si>
    <t>Vпав</t>
  </si>
  <si>
    <t>6у</t>
  </si>
  <si>
    <t>7у</t>
  </si>
  <si>
    <t>8у</t>
  </si>
  <si>
    <t>9у</t>
  </si>
  <si>
    <t>10у</t>
  </si>
  <si>
    <t>11у</t>
  </si>
  <si>
    <t>Lэ=190</t>
  </si>
  <si>
    <t>dσ/dc</t>
  </si>
  <si>
    <t>σрасч</t>
  </si>
  <si>
    <t>Срасч</t>
  </si>
  <si>
    <t>Г вся</t>
  </si>
  <si>
    <t>s1=1/Гm/Na</t>
  </si>
  <si>
    <t>C, моль/л</t>
  </si>
  <si>
    <t>L, мм</t>
  </si>
  <si>
    <r>
      <t>с/Г,м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/л</t>
    </r>
  </si>
  <si>
    <r>
      <t>Г, моль/м</t>
    </r>
    <r>
      <rPr>
        <b/>
        <vertAlign val="superscript"/>
        <sz val="10"/>
        <rFont val="Arial Cyr"/>
        <family val="0"/>
      </rPr>
      <t>2</t>
    </r>
  </si>
  <si>
    <r>
      <t>σэксп, мДж/м</t>
    </r>
    <r>
      <rPr>
        <b/>
        <vertAlign val="superscript"/>
        <sz val="10"/>
        <rFont val="Arial Cyr"/>
        <family val="0"/>
      </rPr>
      <t>2</t>
    </r>
  </si>
  <si>
    <r>
      <t>VH</t>
    </r>
    <r>
      <rPr>
        <b/>
        <vertAlign val="subscript"/>
        <sz val="10"/>
        <rFont val="Arial Cyr"/>
        <family val="0"/>
      </rPr>
      <t>2</t>
    </r>
    <r>
      <rPr>
        <b/>
        <sz val="10"/>
        <rFont val="Arial Cyr"/>
        <family val="0"/>
      </rPr>
      <t>O</t>
    </r>
  </si>
  <si>
    <r>
      <t>Гm,моль/м</t>
    </r>
    <r>
      <rPr>
        <b/>
        <vertAlign val="superscript"/>
        <sz val="10"/>
        <rFont val="Arial Cyr"/>
        <family val="0"/>
      </rPr>
      <t>2</t>
    </r>
  </si>
  <si>
    <t>A, л/моль</t>
  </si>
  <si>
    <r>
      <t>s1, м</t>
    </r>
    <r>
      <rPr>
        <b/>
        <vertAlign val="superscript"/>
        <sz val="10"/>
        <rFont val="Arial Cyr"/>
        <family val="0"/>
      </rPr>
      <t>2</t>
    </r>
  </si>
  <si>
    <t>Г*, моль/гр</t>
  </si>
  <si>
    <t>с/Г*, гр/л</t>
  </si>
  <si>
    <t>δ, м</t>
  </si>
  <si>
    <t>Гm*, моль/гр</t>
  </si>
  <si>
    <t>А,л/моль</t>
  </si>
  <si>
    <r>
      <t>S</t>
    </r>
    <r>
      <rPr>
        <b/>
        <vertAlign val="subscript"/>
        <sz val="10"/>
        <rFont val="Arial Cyr"/>
        <family val="0"/>
      </rPr>
      <t>уд</t>
    </r>
    <r>
      <rPr>
        <b/>
        <sz val="10"/>
        <rFont val="Arial Cyr"/>
        <family val="0"/>
      </rPr>
      <t>, м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/гр</t>
    </r>
  </si>
  <si>
    <t>Г\Гм</t>
  </si>
  <si>
    <t>1-Г/Гм</t>
  </si>
  <si>
    <t>Ас</t>
  </si>
  <si>
    <t>1-Г/Гм*</t>
  </si>
  <si>
    <t>А*с</t>
  </si>
  <si>
    <t>Г*/Гм*</t>
  </si>
  <si>
    <t>c/Г=94582с+16601</t>
  </si>
  <si>
    <t>σ=28,85164-16,81668*ln(c+0,05077)</t>
  </si>
  <si>
    <t>с/Г*=290,79с+18,342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</si>
</sst>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E+00"/>
    <numFmt numFmtId="165" formatCode="0.0000"/>
    <numFmt numFmtId="166" formatCode="0.000"/>
  </numFmts>
  <fonts count="1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vertAlign val="superscript"/>
      <sz val="10"/>
      <name val="Arial Cyr"/>
      <family val="0"/>
    </font>
    <font>
      <b/>
      <vertAlign val="subscript"/>
      <sz val="10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8.75"/>
      <name val="Arial Cyr"/>
      <family val="0"/>
    </font>
    <font>
      <b/>
      <sz val="8.75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NumberFormat="1" applyBorder="1" applyAlignment="1">
      <alignment/>
    </xf>
    <xf numFmtId="0" fontId="1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165" fontId="1" fillId="0" borderId="3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"/>
          <c:w val="0.92775"/>
          <c:h val="0.8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расчеты!$D$2:$D$12</c:f>
              <c:numCache>
                <c:ptCount val="11"/>
                <c:pt idx="0">
                  <c:v>0.03333333333333333</c:v>
                </c:pt>
                <c:pt idx="1">
                  <c:v>0.05</c:v>
                </c:pt>
                <c:pt idx="2">
                  <c:v>0.06666666666666667</c:v>
                </c:pt>
                <c:pt idx="3">
                  <c:v>0.08333333333333333</c:v>
                </c:pt>
                <c:pt idx="4">
                  <c:v>0.11666666666666667</c:v>
                </c:pt>
                <c:pt idx="5">
                  <c:v>0.16666666666666666</c:v>
                </c:pt>
                <c:pt idx="6">
                  <c:v>0.25</c:v>
                </c:pt>
                <c:pt idx="7">
                  <c:v>0.3333333333333333</c:v>
                </c:pt>
                <c:pt idx="8">
                  <c:v>0.5</c:v>
                </c:pt>
                <c:pt idx="9">
                  <c:v>0.6666666666666666</c:v>
                </c:pt>
                <c:pt idx="10">
                  <c:v>1</c:v>
                </c:pt>
              </c:numCache>
            </c:numRef>
          </c:xVal>
          <c:yVal>
            <c:numRef>
              <c:f>расчеты!$F$2:$F$12</c:f>
              <c:numCache>
                <c:ptCount val="11"/>
                <c:pt idx="0">
                  <c:v>68.10842105263158</c:v>
                </c:pt>
                <c:pt idx="1">
                  <c:v>65.81263157894736</c:v>
                </c:pt>
                <c:pt idx="2">
                  <c:v>64.2821052631579</c:v>
                </c:pt>
                <c:pt idx="3">
                  <c:v>62.368947368421054</c:v>
                </c:pt>
                <c:pt idx="4">
                  <c:v>59.30789473684211</c:v>
                </c:pt>
                <c:pt idx="5">
                  <c:v>53.18578947368422</c:v>
                </c:pt>
                <c:pt idx="6">
                  <c:v>46.29842105263158</c:v>
                </c:pt>
                <c:pt idx="7">
                  <c:v>43.237368421052636</c:v>
                </c:pt>
                <c:pt idx="8">
                  <c:v>37.497894736842106</c:v>
                </c:pt>
                <c:pt idx="9">
                  <c:v>32.14105263157895</c:v>
                </c:pt>
                <c:pt idx="10">
                  <c:v>27.932105263157897</c:v>
                </c:pt>
              </c:numCache>
            </c:numRef>
          </c:yVal>
          <c:smooth val="1"/>
        </c:ser>
        <c:axId val="1853502"/>
        <c:axId val="16681519"/>
      </c:scatterChart>
      <c:valAx>
        <c:axId val="18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81519"/>
        <c:crosses val="autoZero"/>
        <c:crossBetween val="midCat"/>
        <c:dispUnits/>
      </c:valAx>
      <c:valAx>
        <c:axId val="1668151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8535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расчеты!$K$2:$K$21</c:f>
              <c:numCache>
                <c:ptCount val="20"/>
                <c:pt idx="0">
                  <c:v>0.0364865</c:v>
                </c:pt>
                <c:pt idx="1">
                  <c:v>0.054420500000000004</c:v>
                </c:pt>
                <c:pt idx="2">
                  <c:v>0.0723544</c:v>
                </c:pt>
                <c:pt idx="3">
                  <c:v>0.09028839999999999</c:v>
                </c:pt>
                <c:pt idx="4">
                  <c:v>0.108222</c:v>
                </c:pt>
                <c:pt idx="5">
                  <c:v>0.126156</c:v>
                </c:pt>
                <c:pt idx="6">
                  <c:v>0.14409</c:v>
                </c:pt>
                <c:pt idx="7">
                  <c:v>0.162024</c:v>
                </c:pt>
                <c:pt idx="8">
                  <c:v>0.179958</c:v>
                </c:pt>
                <c:pt idx="9">
                  <c:v>0.197892</c:v>
                </c:pt>
                <c:pt idx="10">
                  <c:v>0.215826</c:v>
                </c:pt>
                <c:pt idx="11">
                  <c:v>0.23375999999999997</c:v>
                </c:pt>
                <c:pt idx="12">
                  <c:v>0.251694</c:v>
                </c:pt>
                <c:pt idx="13">
                  <c:v>0.269628</c:v>
                </c:pt>
                <c:pt idx="14">
                  <c:v>0.287562</c:v>
                </c:pt>
                <c:pt idx="15">
                  <c:v>0.30549600000000005</c:v>
                </c:pt>
                <c:pt idx="16">
                  <c:v>0.32343</c:v>
                </c:pt>
                <c:pt idx="17">
                  <c:v>0.341364</c:v>
                </c:pt>
                <c:pt idx="18">
                  <c:v>0.359298</c:v>
                </c:pt>
                <c:pt idx="19">
                  <c:v>0.377232</c:v>
                </c:pt>
              </c:numCache>
            </c:numRef>
          </c:xVal>
          <c:yVal>
            <c:numRef>
              <c:f>расчеты!$O$2:$O$21</c:f>
              <c:numCache>
                <c:ptCount val="20"/>
                <c:pt idx="0">
                  <c:v>1.6462451410192513E-06</c:v>
                </c:pt>
                <c:pt idx="1">
                  <c:v>2.3412556265346376E-06</c:v>
                </c:pt>
                <c:pt idx="2">
                  <c:v>2.968078208220928E-06</c:v>
                </c:pt>
                <c:pt idx="3">
                  <c:v>3.5316371140221973E-06</c:v>
                </c:pt>
                <c:pt idx="4">
                  <c:v>4.036232513167976E-06</c:v>
                </c:pt>
                <c:pt idx="5">
                  <c:v>4.486334044943469E-06</c:v>
                </c:pt>
                <c:pt idx="6">
                  <c:v>4.88585352297929E-06</c:v>
                </c:pt>
                <c:pt idx="7">
                  <c:v>5.238571429299673E-06</c:v>
                </c:pt>
                <c:pt idx="8">
                  <c:v>5.547856973524961E-06</c:v>
                </c:pt>
                <c:pt idx="9">
                  <c:v>5.817175101475342E-06</c:v>
                </c:pt>
                <c:pt idx="10">
                  <c:v>6.049332213623482E-06</c:v>
                </c:pt>
                <c:pt idx="11">
                  <c:v>6.247395012214907E-06</c:v>
                </c:pt>
                <c:pt idx="12">
                  <c:v>6.413994143185385E-06</c:v>
                </c:pt>
                <c:pt idx="13">
                  <c:v>6.5515302569475355E-06</c:v>
                </c:pt>
                <c:pt idx="14">
                  <c:v>6.662437426529597E-06</c:v>
                </c:pt>
                <c:pt idx="15">
                  <c:v>6.74891548084572E-06</c:v>
                </c:pt>
                <c:pt idx="16">
                  <c:v>6.812909469380688E-06</c:v>
                </c:pt>
                <c:pt idx="17">
                  <c:v>6.856401829770347E-06</c:v>
                </c:pt>
                <c:pt idx="18">
                  <c:v>6.881062579812304E-06</c:v>
                </c:pt>
                <c:pt idx="19">
                  <c:v>6.888640196084181E-06</c:v>
                </c:pt>
              </c:numCache>
            </c:numRef>
          </c:yVal>
          <c:smooth val="1"/>
        </c:ser>
        <c:axId val="15915944"/>
        <c:axId val="9025769"/>
      </c:scatterChart>
      <c:valAx>
        <c:axId val="1591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9025769"/>
        <c:crosses val="autoZero"/>
        <c:crossBetween val="midCat"/>
        <c:dispUnits/>
      </c:valAx>
      <c:valAx>
        <c:axId val="9025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5915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расчеты!$K$2:$K$21</c:f>
              <c:numCache>
                <c:ptCount val="20"/>
                <c:pt idx="0">
                  <c:v>0.0364865</c:v>
                </c:pt>
                <c:pt idx="1">
                  <c:v>0.054420500000000004</c:v>
                </c:pt>
                <c:pt idx="2">
                  <c:v>0.0723544</c:v>
                </c:pt>
                <c:pt idx="3">
                  <c:v>0.09028839999999999</c:v>
                </c:pt>
                <c:pt idx="4">
                  <c:v>0.108222</c:v>
                </c:pt>
                <c:pt idx="5">
                  <c:v>0.126156</c:v>
                </c:pt>
                <c:pt idx="6">
                  <c:v>0.14409</c:v>
                </c:pt>
                <c:pt idx="7">
                  <c:v>0.162024</c:v>
                </c:pt>
                <c:pt idx="8">
                  <c:v>0.179958</c:v>
                </c:pt>
                <c:pt idx="9">
                  <c:v>0.197892</c:v>
                </c:pt>
                <c:pt idx="10">
                  <c:v>0.215826</c:v>
                </c:pt>
                <c:pt idx="11">
                  <c:v>0.23375999999999997</c:v>
                </c:pt>
                <c:pt idx="12">
                  <c:v>0.251694</c:v>
                </c:pt>
                <c:pt idx="13">
                  <c:v>0.269628</c:v>
                </c:pt>
                <c:pt idx="14">
                  <c:v>0.287562</c:v>
                </c:pt>
                <c:pt idx="15">
                  <c:v>0.30549600000000005</c:v>
                </c:pt>
                <c:pt idx="16">
                  <c:v>0.32343</c:v>
                </c:pt>
                <c:pt idx="17">
                  <c:v>0.341364</c:v>
                </c:pt>
                <c:pt idx="18">
                  <c:v>0.359298</c:v>
                </c:pt>
                <c:pt idx="19">
                  <c:v>0.377232</c:v>
                </c:pt>
              </c:numCache>
            </c:numRef>
          </c:xVal>
          <c:yVal>
            <c:numRef>
              <c:f>расчеты!$P$2:$P$21</c:f>
              <c:numCache>
                <c:ptCount val="20"/>
                <c:pt idx="0">
                  <c:v>22163.467086930843</c:v>
                </c:pt>
                <c:pt idx="1">
                  <c:v>23244.15129353022</c:v>
                </c:pt>
                <c:pt idx="2">
                  <c:v>24377.52475645491</c:v>
                </c:pt>
                <c:pt idx="3">
                  <c:v>25565.59382658943</c:v>
                </c:pt>
                <c:pt idx="4">
                  <c:v>26812.627777743714</c:v>
                </c:pt>
                <c:pt idx="5">
                  <c:v>28120.06389541812</c:v>
                </c:pt>
                <c:pt idx="6">
                  <c:v>29491.26479586661</c:v>
                </c:pt>
                <c:pt idx="7">
                  <c:v>30929.042809989984</c:v>
                </c:pt>
                <c:pt idx="8">
                  <c:v>32437.389943320668</c:v>
                </c:pt>
                <c:pt idx="9">
                  <c:v>34018.57371455278</c:v>
                </c:pt>
                <c:pt idx="10">
                  <c:v>35677.65703360547</c:v>
                </c:pt>
                <c:pt idx="11">
                  <c:v>37417.195413920905</c:v>
                </c:pt>
                <c:pt idx="12">
                  <c:v>39241.38288579744</c:v>
                </c:pt>
                <c:pt idx="13">
                  <c:v>41154.96524099456</c:v>
                </c:pt>
                <c:pt idx="14">
                  <c:v>43161.68116715633</c:v>
                </c:pt>
                <c:pt idx="15">
                  <c:v>45265.93952273318</c:v>
                </c:pt>
                <c:pt idx="16">
                  <c:v>47473.109903132274</c:v>
                </c:pt>
                <c:pt idx="17">
                  <c:v>49787.63037455083</c:v>
                </c:pt>
                <c:pt idx="18">
                  <c:v>52215.48210506184</c:v>
                </c:pt>
                <c:pt idx="19">
                  <c:v>54761.4607908301</c:v>
                </c:pt>
              </c:numCache>
            </c:numRef>
          </c:yVal>
          <c:smooth val="1"/>
        </c:ser>
        <c:axId val="14123058"/>
        <c:axId val="59998659"/>
      </c:scatterChart>
      <c:val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crossAx val="59998659"/>
        <c:crosses val="autoZero"/>
        <c:crossBetween val="midCat"/>
        <c:dispUnits/>
      </c:valAx>
      <c:valAx>
        <c:axId val="599986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yr"/>
                    <a:ea typeface="Arial Cyr"/>
                    <a:cs typeface="Arial Cyr"/>
                  </a:rPr>
                  <a:t>С/Г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in"/>
        <c:minorTickMark val="in"/>
        <c:tickLblPos val="nextTo"/>
        <c:crossAx val="14123058"/>
        <c:crosses val="autoZero"/>
        <c:crossBetween val="midCat"/>
        <c:dispUnits/>
        <c:minorUnit val="8789.843872320978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расчеты!$D$7:$D$12</c:f>
              <c:numCache>
                <c:ptCount val="6"/>
                <c:pt idx="0">
                  <c:v>0.16666666666666666</c:v>
                </c:pt>
                <c:pt idx="1">
                  <c:v>0.25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1</c:v>
                </c:pt>
              </c:numCache>
            </c:numRef>
          </c:xVal>
          <c:yVal>
            <c:numRef>
              <c:f>расчеты!$H$14:$H$19</c:f>
              <c:numCache>
                <c:ptCount val="6"/>
                <c:pt idx="0">
                  <c:v>80.22170796295174</c:v>
                </c:pt>
                <c:pt idx="1">
                  <c:v>86.70201563378957</c:v>
                </c:pt>
                <c:pt idx="2">
                  <c:v>112.9683726729944</c:v>
                </c:pt>
                <c:pt idx="3">
                  <c:v>157.09689451337704</c:v>
                </c:pt>
                <c:pt idx="4">
                  <c:v>202.99183361162946</c:v>
                </c:pt>
                <c:pt idx="5">
                  <c:v>318.2071933240449</c:v>
                </c:pt>
              </c:numCache>
            </c:numRef>
          </c:yVal>
          <c:smooth val="1"/>
        </c:ser>
        <c:axId val="3117020"/>
        <c:axId val="28053181"/>
      </c:scatterChart>
      <c:valAx>
        <c:axId val="311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8053181"/>
        <c:crosses val="autoZero"/>
        <c:crossBetween val="midCat"/>
        <c:dispUnits/>
        <c:minorUnit val="0.1"/>
      </c:valAx>
      <c:valAx>
        <c:axId val="28053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C/Г*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117020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расчеты!$C$41:$C$60</c:f>
              <c:numCache>
                <c:ptCount val="20"/>
                <c:pt idx="0">
                  <c:v>0.20788475267</c:v>
                </c:pt>
                <c:pt idx="1">
                  <c:v>0.31006515239000004</c:v>
                </c:pt>
                <c:pt idx="2">
                  <c:v>0.412244982352</c:v>
                </c:pt>
                <c:pt idx="3">
                  <c:v>0.514425382072</c:v>
                </c:pt>
                <c:pt idx="4">
                  <c:v>0.61660350276</c:v>
                </c:pt>
                <c:pt idx="5">
                  <c:v>0.71878390248</c:v>
                </c:pt>
                <c:pt idx="6">
                  <c:v>0.8209643022</c:v>
                </c:pt>
                <c:pt idx="7">
                  <c:v>0.9231447019200001</c:v>
                </c:pt>
                <c:pt idx="8">
                  <c:v>1.02532510164</c:v>
                </c:pt>
                <c:pt idx="9">
                  <c:v>1.1275055013600002</c:v>
                </c:pt>
                <c:pt idx="10">
                  <c:v>1.22968590108</c:v>
                </c:pt>
                <c:pt idx="11">
                  <c:v>1.3318663007999998</c:v>
                </c:pt>
                <c:pt idx="12">
                  <c:v>1.43404670052</c:v>
                </c:pt>
                <c:pt idx="13">
                  <c:v>1.5362271002399999</c:v>
                </c:pt>
                <c:pt idx="14">
                  <c:v>1.63840749996</c:v>
                </c:pt>
                <c:pt idx="15">
                  <c:v>1.7405878996800004</c:v>
                </c:pt>
                <c:pt idx="16">
                  <c:v>1.8427682994</c:v>
                </c:pt>
                <c:pt idx="17">
                  <c:v>1.94494869912</c:v>
                </c:pt>
                <c:pt idx="18">
                  <c:v>2.04712909884</c:v>
                </c:pt>
                <c:pt idx="19">
                  <c:v>2.14930949856</c:v>
                </c:pt>
              </c:numCache>
            </c:numRef>
          </c:xVal>
          <c:yVal>
            <c:numRef>
              <c:f>расчеты!$D$41:$D$60</c:f>
              <c:numCache>
                <c:ptCount val="20"/>
                <c:pt idx="0">
                  <c:v>0.18593751094761712</c:v>
                </c:pt>
                <c:pt idx="1">
                  <c:v>0.28696273830432656</c:v>
                </c:pt>
                <c:pt idx="2">
                  <c:v>0.39406651984365004</c:v>
                </c:pt>
                <c:pt idx="3">
                  <c:v>0.5068101606948153</c:v>
                </c:pt>
                <c:pt idx="4">
                  <c:v>0.6244396199879688</c:v>
                </c:pt>
                <c:pt idx="5">
                  <c:v>0.7460231543408528</c:v>
                </c:pt>
                <c:pt idx="6">
                  <c:v>0.8702753914557808</c:v>
                </c:pt>
                <c:pt idx="7">
                  <c:v>0.9956557157255844</c:v>
                </c:pt>
                <c:pt idx="8">
                  <c:v>1.1202941724148774</c:v>
                </c:pt>
                <c:pt idx="9">
                  <c:v>1.2422363055488297</c:v>
                </c:pt>
                <c:pt idx="10">
                  <c:v>1.3591965304937994</c:v>
                </c:pt>
                <c:pt idx="11">
                  <c:v>1.4690748447503406</c:v>
                </c:pt>
                <c:pt idx="12">
                  <c:v>1.5697466836686413</c:v>
                </c:pt>
                <c:pt idx="13">
                  <c:v>1.6592580628166875</c:v>
                </c:pt>
                <c:pt idx="14">
                  <c:v>1.7361117373272148</c:v>
                </c:pt>
                <c:pt idx="15">
                  <c:v>1.7991904598212927</c:v>
                </c:pt>
                <c:pt idx="16">
                  <c:v>1.8477738511715738</c:v>
                </c:pt>
                <c:pt idx="17">
                  <c:v>1.8817667342659234</c:v>
                </c:pt>
                <c:pt idx="18">
                  <c:v>1.9014041363156307</c:v>
                </c:pt>
                <c:pt idx="19">
                  <c:v>1.9074920722700597</c:v>
                </c:pt>
              </c:numCache>
            </c:numRef>
          </c:yVal>
          <c:smooth val="0"/>
        </c:ser>
        <c:axId val="51152038"/>
        <c:axId val="57715159"/>
      </c:scatterChart>
      <c:valAx>
        <c:axId val="511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Ас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15159"/>
        <c:crosses val="autoZero"/>
        <c:crossBetween val="midCat"/>
        <c:dispUnits/>
      </c:valAx>
      <c:valAx>
        <c:axId val="5771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(Г/Гм)/(1-Г/Гм)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52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125"/>
          <c:w val="0.92925"/>
          <c:h val="0.859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расчеты!$H$41:$H$46</c:f>
              <c:numCache>
                <c:ptCount val="6"/>
                <c:pt idx="0">
                  <c:v>0.4463617350832682</c:v>
                </c:pt>
                <c:pt idx="1">
                  <c:v>0.9156657974083421</c:v>
                </c:pt>
                <c:pt idx="2">
                  <c:v>2.165449859506658</c:v>
                </c:pt>
                <c:pt idx="3">
                  <c:v>4.56189511514599</c:v>
                </c:pt>
                <c:pt idx="4">
                  <c:v>7.096357384214396</c:v>
                </c:pt>
                <c:pt idx="5">
                  <c:v>12.529312445364443</c:v>
                </c:pt>
              </c:numCache>
            </c:numRef>
          </c:xVal>
          <c:yVal>
            <c:numRef>
              <c:f>расчеты!$G$41:$G$46</c:f>
              <c:numCache>
                <c:ptCount val="6"/>
                <c:pt idx="0">
                  <c:v>1.5710355282145896</c:v>
                </c:pt>
                <c:pt idx="1">
                  <c:v>5.581995214877802</c:v>
                </c:pt>
                <c:pt idx="2">
                  <c:v>6.566962607030287</c:v>
                </c:pt>
                <c:pt idx="3">
                  <c:v>14.650107950454068</c:v>
                </c:pt>
                <c:pt idx="4">
                  <c:v>28.362074792082367</c:v>
                </c:pt>
                <c:pt idx="5">
                  <c:v>12.209347732026329</c:v>
                </c:pt>
              </c:numCache>
            </c:numRef>
          </c:yVal>
          <c:smooth val="1"/>
        </c:ser>
        <c:axId val="49674384"/>
        <c:axId val="44416273"/>
      </c:scatterChart>
      <c:val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А*с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6273"/>
        <c:crosses val="autoZero"/>
        <c:crossBetween val="midCat"/>
        <c:dispUnits/>
      </c:val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(Г/Гм*)/(1-Г/Гм*)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74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02138"/>
        <c:axId val="40948331"/>
      </c:barChart>
      <c:catAx>
        <c:axId val="64202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8</xdr:col>
      <xdr:colOff>638175</xdr:colOff>
      <xdr:row>16</xdr:row>
      <xdr:rowOff>85725</xdr:rowOff>
    </xdr:to>
    <xdr:graphicFrame>
      <xdr:nvGraphicFramePr>
        <xdr:cNvPr id="1" name="Chart 7"/>
        <xdr:cNvGraphicFramePr/>
      </xdr:nvGraphicFramePr>
      <xdr:xfrm>
        <a:off x="0" y="76200"/>
        <a:ext cx="6124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16</xdr:row>
      <xdr:rowOff>95250</xdr:rowOff>
    </xdr:from>
    <xdr:to>
      <xdr:col>8</xdr:col>
      <xdr:colOff>676275</xdr:colOff>
      <xdr:row>32</xdr:row>
      <xdr:rowOff>142875</xdr:rowOff>
    </xdr:to>
    <xdr:graphicFrame>
      <xdr:nvGraphicFramePr>
        <xdr:cNvPr id="2" name="Chart 8"/>
        <xdr:cNvGraphicFramePr/>
      </xdr:nvGraphicFramePr>
      <xdr:xfrm>
        <a:off x="57150" y="2686050"/>
        <a:ext cx="61055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33</xdr:row>
      <xdr:rowOff>19050</xdr:rowOff>
    </xdr:from>
    <xdr:to>
      <xdr:col>8</xdr:col>
      <xdr:colOff>657225</xdr:colOff>
      <xdr:row>48</xdr:row>
      <xdr:rowOff>152400</xdr:rowOff>
    </xdr:to>
    <xdr:graphicFrame>
      <xdr:nvGraphicFramePr>
        <xdr:cNvPr id="3" name="Chart 9"/>
        <xdr:cNvGraphicFramePr/>
      </xdr:nvGraphicFramePr>
      <xdr:xfrm>
        <a:off x="104775" y="5362575"/>
        <a:ext cx="60388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0</xdr:row>
      <xdr:rowOff>19050</xdr:rowOff>
    </xdr:from>
    <xdr:to>
      <xdr:col>17</xdr:col>
      <xdr:colOff>628650</xdr:colOff>
      <xdr:row>16</xdr:row>
      <xdr:rowOff>114300</xdr:rowOff>
    </xdr:to>
    <xdr:graphicFrame>
      <xdr:nvGraphicFramePr>
        <xdr:cNvPr id="4" name="Chart 10"/>
        <xdr:cNvGraphicFramePr/>
      </xdr:nvGraphicFramePr>
      <xdr:xfrm>
        <a:off x="6229350" y="19050"/>
        <a:ext cx="605790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66675</xdr:colOff>
      <xdr:row>16</xdr:row>
      <xdr:rowOff>123825</xdr:rowOff>
    </xdr:from>
    <xdr:to>
      <xdr:col>17</xdr:col>
      <xdr:colOff>495300</xdr:colOff>
      <xdr:row>33</xdr:row>
      <xdr:rowOff>76200</xdr:rowOff>
    </xdr:to>
    <xdr:graphicFrame>
      <xdr:nvGraphicFramePr>
        <xdr:cNvPr id="5" name="Chart 11"/>
        <xdr:cNvGraphicFramePr/>
      </xdr:nvGraphicFramePr>
      <xdr:xfrm>
        <a:off x="6238875" y="2714625"/>
        <a:ext cx="5915025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142875</xdr:colOff>
      <xdr:row>33</xdr:row>
      <xdr:rowOff>95250</xdr:rowOff>
    </xdr:from>
    <xdr:to>
      <xdr:col>17</xdr:col>
      <xdr:colOff>285750</xdr:colOff>
      <xdr:row>48</xdr:row>
      <xdr:rowOff>142875</xdr:rowOff>
    </xdr:to>
    <xdr:graphicFrame>
      <xdr:nvGraphicFramePr>
        <xdr:cNvPr id="6" name="Chart 12"/>
        <xdr:cNvGraphicFramePr/>
      </xdr:nvGraphicFramePr>
      <xdr:xfrm>
        <a:off x="6315075" y="5438775"/>
        <a:ext cx="5629275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K45" sqref="K4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selection activeCell="G52" sqref="G52"/>
    </sheetView>
  </sheetViews>
  <sheetFormatPr defaultColWidth="9.00390625" defaultRowHeight="12.75"/>
  <cols>
    <col min="1" max="1" width="12.375" style="0" bestFit="1" customWidth="1"/>
    <col min="2" max="2" width="9.625" style="0" customWidth="1"/>
    <col min="3" max="5" width="12.375" style="0" bestFit="1" customWidth="1"/>
    <col min="6" max="6" width="14.125" style="0" customWidth="1"/>
    <col min="7" max="7" width="13.125" style="0" bestFit="1" customWidth="1"/>
    <col min="10" max="10" width="0.5" style="20" customWidth="1"/>
    <col min="11" max="11" width="8.875" style="20" customWidth="1"/>
    <col min="13" max="13" width="9.50390625" style="14" bestFit="1" customWidth="1"/>
    <col min="14" max="14" width="9.375" style="0" customWidth="1"/>
    <col min="15" max="15" width="11.125" style="0" customWidth="1"/>
    <col min="16" max="16" width="11.25390625" style="0" bestFit="1" customWidth="1"/>
  </cols>
  <sheetData>
    <row r="1" spans="1:20" s="4" customFormat="1" ht="16.5">
      <c r="A1" s="2" t="s">
        <v>0</v>
      </c>
      <c r="B1" s="2" t="s">
        <v>1</v>
      </c>
      <c r="C1" s="2" t="s">
        <v>19</v>
      </c>
      <c r="D1" s="2" t="s">
        <v>14</v>
      </c>
      <c r="E1" s="2" t="s">
        <v>15</v>
      </c>
      <c r="F1" s="2" t="s">
        <v>18</v>
      </c>
      <c r="G1" s="8"/>
      <c r="H1" s="8"/>
      <c r="I1" s="8"/>
      <c r="K1" s="15" t="s">
        <v>11</v>
      </c>
      <c r="L1" s="8" t="s">
        <v>10</v>
      </c>
      <c r="M1" s="13" t="s">
        <v>9</v>
      </c>
      <c r="N1" s="8" t="s">
        <v>12</v>
      </c>
      <c r="O1" s="8" t="s">
        <v>17</v>
      </c>
      <c r="P1" s="8" t="s">
        <v>16</v>
      </c>
      <c r="Q1" s="2"/>
      <c r="R1" s="2"/>
      <c r="S1" s="2"/>
      <c r="T1" s="2"/>
    </row>
    <row r="2" spans="1:20" ht="12.75">
      <c r="A2" s="2">
        <v>1</v>
      </c>
      <c r="B2" s="1">
        <v>1</v>
      </c>
      <c r="C2" s="1">
        <f>30-B2</f>
        <v>29</v>
      </c>
      <c r="D2" s="21">
        <f>B2/30</f>
        <v>0.03333333333333333</v>
      </c>
      <c r="E2" s="1">
        <v>178</v>
      </c>
      <c r="F2" s="6">
        <f>72.7*E2/190</f>
        <v>68.10842105263158</v>
      </c>
      <c r="G2" s="6"/>
      <c r="H2" s="6"/>
      <c r="I2" s="6"/>
      <c r="J2" s="16">
        <f>0.000000364865*1000000/10</f>
        <v>0.0364865</v>
      </c>
      <c r="K2" s="16">
        <f>0.000000364865*1000000/10</f>
        <v>0.0364865</v>
      </c>
      <c r="L2" s="3">
        <v>68.01798</v>
      </c>
      <c r="M2" s="12">
        <f>(L2-L3)/(K2-K3)</f>
        <v>-109.85781197724923</v>
      </c>
      <c r="N2" s="1">
        <f aca="true" t="shared" si="0" ref="N2:N33">-(K2*M2)/(8.31*293*1000)</f>
        <v>1.6462451410192513E-06</v>
      </c>
      <c r="O2" s="22">
        <f>N2</f>
        <v>1.6462451410192513E-06</v>
      </c>
      <c r="P2" s="3">
        <f aca="true" t="shared" si="1" ref="P2:P21">K2/O2</f>
        <v>22163.467086930843</v>
      </c>
      <c r="Q2" s="9"/>
      <c r="R2" s="1"/>
      <c r="S2" s="1"/>
      <c r="T2" s="1"/>
    </row>
    <row r="3" spans="1:20" ht="12.75">
      <c r="A3" s="2">
        <v>2</v>
      </c>
      <c r="B3" s="1">
        <v>1.5</v>
      </c>
      <c r="C3" s="1">
        <f aca="true" t="shared" si="2" ref="C3:C19">30-B3</f>
        <v>28.5</v>
      </c>
      <c r="D3" s="21">
        <f aca="true" t="shared" si="3" ref="D3:D12">B3/30</f>
        <v>0.05</v>
      </c>
      <c r="E3" s="1">
        <v>172</v>
      </c>
      <c r="F3" s="6">
        <f aca="true" t="shared" si="4" ref="F3:F12">72.7*E3/190</f>
        <v>65.81263157894736</v>
      </c>
      <c r="G3" s="6"/>
      <c r="H3" s="6"/>
      <c r="I3" s="6"/>
      <c r="J3" s="17">
        <f>0.000000544205*1000000/10</f>
        <v>0.054420500000000004</v>
      </c>
      <c r="K3" s="17">
        <f>0.000000544205*1000000/10</f>
        <v>0.054420500000000004</v>
      </c>
      <c r="L3" s="3">
        <v>66.04779</v>
      </c>
      <c r="M3" s="12">
        <f aca="true" t="shared" si="5" ref="M3:M61">(L3-L4)/(K3-K4)</f>
        <v>-104.75022164727136</v>
      </c>
      <c r="N3" s="1">
        <f t="shared" si="0"/>
        <v>2.3412556265346376E-06</v>
      </c>
      <c r="O3" s="22">
        <f aca="true" t="shared" si="6" ref="O3:O21">N3</f>
        <v>2.3412556265346376E-06</v>
      </c>
      <c r="P3" s="3">
        <f t="shared" si="1"/>
        <v>23244.15129353022</v>
      </c>
      <c r="Q3" s="9"/>
      <c r="R3" s="1"/>
      <c r="S3" s="1"/>
      <c r="T3" s="1"/>
    </row>
    <row r="4" spans="1:20" ht="12.75">
      <c r="A4" s="2">
        <v>3</v>
      </c>
      <c r="B4" s="1">
        <v>2</v>
      </c>
      <c r="C4" s="1">
        <f t="shared" si="2"/>
        <v>28</v>
      </c>
      <c r="D4" s="21">
        <f t="shared" si="3"/>
        <v>0.06666666666666667</v>
      </c>
      <c r="E4" s="1">
        <v>168</v>
      </c>
      <c r="F4" s="6">
        <f t="shared" si="4"/>
        <v>64.2821052631579</v>
      </c>
      <c r="G4" s="6"/>
      <c r="H4" s="6"/>
      <c r="I4" s="6"/>
      <c r="J4" s="17">
        <f>0.000000723544*1000000/10</f>
        <v>0.0723544</v>
      </c>
      <c r="K4" s="17">
        <f>0.000000723544*1000000/10</f>
        <v>0.0723544</v>
      </c>
      <c r="L4" s="3">
        <v>64.16921</v>
      </c>
      <c r="M4" s="12">
        <f t="shared" si="5"/>
        <v>-99.88011598081889</v>
      </c>
      <c r="N4" s="1">
        <f t="shared" si="0"/>
        <v>2.968078208220928E-06</v>
      </c>
      <c r="O4" s="22">
        <f t="shared" si="6"/>
        <v>2.968078208220928E-06</v>
      </c>
      <c r="P4" s="3">
        <f t="shared" si="1"/>
        <v>24377.52475645491</v>
      </c>
      <c r="Q4" s="9"/>
      <c r="R4" s="1"/>
      <c r="S4" s="1"/>
      <c r="T4" s="1"/>
    </row>
    <row r="5" spans="1:20" ht="12.75">
      <c r="A5" s="2">
        <v>4</v>
      </c>
      <c r="B5" s="1">
        <v>2.5</v>
      </c>
      <c r="C5" s="1">
        <f t="shared" si="2"/>
        <v>27.5</v>
      </c>
      <c r="D5" s="21">
        <f t="shared" si="3"/>
        <v>0.08333333333333333</v>
      </c>
      <c r="E5" s="1">
        <v>163</v>
      </c>
      <c r="F5" s="6">
        <f t="shared" si="4"/>
        <v>62.368947368421054</v>
      </c>
      <c r="G5" s="6"/>
      <c r="H5" s="6"/>
      <c r="I5" s="6"/>
      <c r="J5" s="17">
        <f>0.000000902884*1000000/10</f>
        <v>0.09028839999999999</v>
      </c>
      <c r="K5" s="17">
        <f>0.000000902884*1000000/10</f>
        <v>0.09028839999999999</v>
      </c>
      <c r="L5" s="3">
        <v>62.37796</v>
      </c>
      <c r="M5" s="12">
        <f t="shared" si="5"/>
        <v>-95.23854663871182</v>
      </c>
      <c r="N5" s="1">
        <f t="shared" si="0"/>
        <v>3.5316371140221973E-06</v>
      </c>
      <c r="O5" s="22">
        <f t="shared" si="6"/>
        <v>3.5316371140221973E-06</v>
      </c>
      <c r="P5" s="3">
        <f t="shared" si="1"/>
        <v>25565.59382658943</v>
      </c>
      <c r="Q5" s="9"/>
      <c r="R5" s="1"/>
      <c r="S5" s="1"/>
      <c r="T5" s="1"/>
    </row>
    <row r="6" spans="1:20" ht="12.75">
      <c r="A6" s="2">
        <v>5</v>
      </c>
      <c r="B6" s="1">
        <v>3.5</v>
      </c>
      <c r="C6" s="1">
        <f t="shared" si="2"/>
        <v>26.5</v>
      </c>
      <c r="D6" s="21">
        <f t="shared" si="3"/>
        <v>0.11666666666666667</v>
      </c>
      <c r="E6" s="1">
        <v>155</v>
      </c>
      <c r="F6" s="6">
        <f t="shared" si="4"/>
        <v>59.30789473684211</v>
      </c>
      <c r="G6" s="6"/>
      <c r="H6" s="6"/>
      <c r="I6" s="6"/>
      <c r="J6" s="17">
        <f>0.00000108222*1000000/10</f>
        <v>0.108222</v>
      </c>
      <c r="K6" s="17">
        <f>0.00000108222*1000000/10</f>
        <v>0.108222</v>
      </c>
      <c r="L6" s="3">
        <v>60.66999</v>
      </c>
      <c r="M6" s="12">
        <f t="shared" si="5"/>
        <v>-90.80907772945227</v>
      </c>
      <c r="N6" s="1">
        <f t="shared" si="0"/>
        <v>4.036232513167976E-06</v>
      </c>
      <c r="O6" s="22">
        <f t="shared" si="6"/>
        <v>4.036232513167976E-06</v>
      </c>
      <c r="P6" s="3">
        <f t="shared" si="1"/>
        <v>26812.627777743714</v>
      </c>
      <c r="Q6" s="9"/>
      <c r="R6" s="1"/>
      <c r="S6" s="1"/>
      <c r="T6" s="1"/>
    </row>
    <row r="7" spans="1:20" ht="12.75">
      <c r="A7" s="2">
        <v>6</v>
      </c>
      <c r="B7" s="1">
        <v>5</v>
      </c>
      <c r="C7" s="1">
        <f t="shared" si="2"/>
        <v>25</v>
      </c>
      <c r="D7" s="21">
        <f t="shared" si="3"/>
        <v>0.16666666666666666</v>
      </c>
      <c r="E7" s="1">
        <v>139</v>
      </c>
      <c r="F7" s="6">
        <f t="shared" si="4"/>
        <v>53.18578947368422</v>
      </c>
      <c r="G7" s="6"/>
      <c r="H7" s="6"/>
      <c r="I7" s="6"/>
      <c r="J7" s="17">
        <f>0.00000126156*1000000/10</f>
        <v>0.126156</v>
      </c>
      <c r="K7" s="17">
        <f>0.00000126156*1000000/10</f>
        <v>0.126156</v>
      </c>
      <c r="L7" s="3">
        <v>59.04142</v>
      </c>
      <c r="M7" s="12">
        <f t="shared" si="5"/>
        <v>-86.58692985390871</v>
      </c>
      <c r="N7" s="1">
        <f t="shared" si="0"/>
        <v>4.486334044943469E-06</v>
      </c>
      <c r="O7" s="22">
        <f t="shared" si="6"/>
        <v>4.486334044943469E-06</v>
      </c>
      <c r="P7" s="3">
        <f t="shared" si="1"/>
        <v>28120.06389541812</v>
      </c>
      <c r="Q7" s="9"/>
      <c r="R7" s="1"/>
      <c r="S7" s="1"/>
      <c r="T7" s="1"/>
    </row>
    <row r="8" spans="1:20" ht="12.75">
      <c r="A8" s="2">
        <v>7</v>
      </c>
      <c r="B8" s="1">
        <v>7.5</v>
      </c>
      <c r="C8" s="1">
        <f t="shared" si="2"/>
        <v>22.5</v>
      </c>
      <c r="D8" s="21">
        <f t="shared" si="3"/>
        <v>0.25</v>
      </c>
      <c r="E8" s="1">
        <v>121</v>
      </c>
      <c r="F8" s="6">
        <f t="shared" si="4"/>
        <v>46.29842105263158</v>
      </c>
      <c r="G8" s="6"/>
      <c r="H8" s="6"/>
      <c r="I8" s="6"/>
      <c r="J8" s="17">
        <f>0.0000014409*1000000/10</f>
        <v>0.14409</v>
      </c>
      <c r="K8" s="17">
        <f>0.0000014409*1000000/10</f>
        <v>0.14409</v>
      </c>
      <c r="L8" s="3">
        <v>57.48857</v>
      </c>
      <c r="M8" s="12">
        <f t="shared" si="5"/>
        <v>-82.56105720976936</v>
      </c>
      <c r="N8" s="1">
        <f t="shared" si="0"/>
        <v>4.88585352297929E-06</v>
      </c>
      <c r="O8" s="22">
        <f t="shared" si="6"/>
        <v>4.88585352297929E-06</v>
      </c>
      <c r="P8" s="3">
        <f t="shared" si="1"/>
        <v>29491.26479586661</v>
      </c>
      <c r="Q8" s="9"/>
      <c r="R8" s="1"/>
      <c r="S8" s="1"/>
      <c r="T8" s="1"/>
    </row>
    <row r="9" spans="1:20" ht="12.75">
      <c r="A9" s="2">
        <v>8</v>
      </c>
      <c r="B9" s="1">
        <v>10</v>
      </c>
      <c r="C9" s="1">
        <f t="shared" si="2"/>
        <v>20</v>
      </c>
      <c r="D9" s="21">
        <f t="shared" si="3"/>
        <v>0.3333333333333333</v>
      </c>
      <c r="E9" s="1">
        <v>113</v>
      </c>
      <c r="F9" s="6">
        <f t="shared" si="4"/>
        <v>43.237368421052636</v>
      </c>
      <c r="G9" s="6"/>
      <c r="H9" s="6"/>
      <c r="I9" s="6"/>
      <c r="J9" s="17">
        <f>0.00000162024*1000000/10</f>
        <v>0.162024</v>
      </c>
      <c r="K9" s="17">
        <f>0.00000162024*1000000/10</f>
        <v>0.162024</v>
      </c>
      <c r="L9" s="3">
        <v>56.00792</v>
      </c>
      <c r="M9" s="12">
        <f t="shared" si="5"/>
        <v>-78.72309579569523</v>
      </c>
      <c r="N9" s="1">
        <f t="shared" si="0"/>
        <v>5.238571429299673E-06</v>
      </c>
      <c r="O9" s="22">
        <f t="shared" si="6"/>
        <v>5.238571429299673E-06</v>
      </c>
      <c r="P9" s="3">
        <f t="shared" si="1"/>
        <v>30929.042809989984</v>
      </c>
      <c r="Q9" s="9"/>
      <c r="R9" s="1"/>
      <c r="S9" s="1"/>
      <c r="T9" s="1"/>
    </row>
    <row r="10" spans="1:20" ht="12.75">
      <c r="A10" s="2">
        <v>9</v>
      </c>
      <c r="B10" s="1">
        <v>15</v>
      </c>
      <c r="C10" s="1">
        <f t="shared" si="2"/>
        <v>15</v>
      </c>
      <c r="D10" s="21">
        <f t="shared" si="3"/>
        <v>0.5</v>
      </c>
      <c r="E10" s="1">
        <v>98</v>
      </c>
      <c r="F10" s="6">
        <f t="shared" si="4"/>
        <v>37.497894736842106</v>
      </c>
      <c r="G10" s="6"/>
      <c r="H10" s="6"/>
      <c r="I10" s="6"/>
      <c r="J10" s="17">
        <f>0.00000179958*1000000/10</f>
        <v>0.179958</v>
      </c>
      <c r="K10" s="17">
        <f>0.00000179958*1000000/10</f>
        <v>0.179958</v>
      </c>
      <c r="L10" s="3">
        <v>54.5961</v>
      </c>
      <c r="M10" s="12">
        <f t="shared" si="5"/>
        <v>-75.06245120999222</v>
      </c>
      <c r="N10" s="1">
        <f t="shared" si="0"/>
        <v>5.547856973524961E-06</v>
      </c>
      <c r="O10" s="22">
        <f t="shared" si="6"/>
        <v>5.547856973524961E-06</v>
      </c>
      <c r="P10" s="3">
        <f t="shared" si="1"/>
        <v>32437.389943320668</v>
      </c>
      <c r="Q10" s="9"/>
      <c r="R10" s="1"/>
      <c r="S10" s="1"/>
      <c r="T10" s="1"/>
    </row>
    <row r="11" spans="1:20" ht="12.75">
      <c r="A11" s="2">
        <v>10</v>
      </c>
      <c r="B11" s="1">
        <v>20</v>
      </c>
      <c r="C11" s="1">
        <f t="shared" si="2"/>
        <v>10</v>
      </c>
      <c r="D11" s="21">
        <f t="shared" si="3"/>
        <v>0.6666666666666666</v>
      </c>
      <c r="E11" s="1">
        <v>84</v>
      </c>
      <c r="F11" s="6">
        <f t="shared" si="4"/>
        <v>32.14105263157895</v>
      </c>
      <c r="G11" s="6"/>
      <c r="H11" s="6"/>
      <c r="I11" s="6"/>
      <c r="J11" s="17">
        <f>0.00000197892*1000000</f>
        <v>1.97892</v>
      </c>
      <c r="K11" s="17">
        <f>J11/10</f>
        <v>0.197892</v>
      </c>
      <c r="L11" s="3">
        <v>53.24993</v>
      </c>
      <c r="M11" s="12">
        <f t="shared" si="5"/>
        <v>-71.57354745176767</v>
      </c>
      <c r="N11" s="1">
        <f t="shared" si="0"/>
        <v>5.817175101475342E-06</v>
      </c>
      <c r="O11" s="22">
        <f t="shared" si="6"/>
        <v>5.817175101475342E-06</v>
      </c>
      <c r="P11" s="3">
        <f t="shared" si="1"/>
        <v>34018.57371455278</v>
      </c>
      <c r="Q11" s="9"/>
      <c r="R11" s="1"/>
      <c r="S11" s="1"/>
      <c r="T11" s="1"/>
    </row>
    <row r="12" spans="1:20" ht="12.75">
      <c r="A12" s="2">
        <v>11</v>
      </c>
      <c r="B12" s="1">
        <v>30</v>
      </c>
      <c r="C12" s="1">
        <f t="shared" si="2"/>
        <v>0</v>
      </c>
      <c r="D12" s="12">
        <f t="shared" si="3"/>
        <v>1</v>
      </c>
      <c r="E12" s="1">
        <v>73</v>
      </c>
      <c r="F12" s="6">
        <f t="shared" si="4"/>
        <v>27.932105263157897</v>
      </c>
      <c r="G12" s="6"/>
      <c r="H12" s="6"/>
      <c r="I12" s="6"/>
      <c r="J12" s="17">
        <f>0.00000215826*1000000</f>
        <v>2.15826</v>
      </c>
      <c r="K12" s="17">
        <f aca="true" t="shared" si="7" ref="K12:K61">J12/10</f>
        <v>0.215826</v>
      </c>
      <c r="L12" s="3">
        <v>51.96633</v>
      </c>
      <c r="M12" s="12">
        <f t="shared" si="5"/>
        <v>-68.24523251923709</v>
      </c>
      <c r="N12" s="1">
        <f t="shared" si="0"/>
        <v>6.049332213623482E-06</v>
      </c>
      <c r="O12" s="22">
        <f t="shared" si="6"/>
        <v>6.049332213623482E-06</v>
      </c>
      <c r="P12" s="3">
        <f t="shared" si="1"/>
        <v>35677.65703360547</v>
      </c>
      <c r="Q12" s="9"/>
      <c r="R12" s="1"/>
      <c r="S12" s="1"/>
      <c r="T12" s="1"/>
    </row>
    <row r="13" spans="1:20" ht="12.75">
      <c r="A13" s="1"/>
      <c r="B13" s="1"/>
      <c r="C13" s="1"/>
      <c r="D13" s="1"/>
      <c r="E13" s="1"/>
      <c r="F13" s="7"/>
      <c r="G13" s="11" t="s">
        <v>23</v>
      </c>
      <c r="H13" s="11" t="s">
        <v>24</v>
      </c>
      <c r="I13" s="7"/>
      <c r="J13" s="17">
        <f>0.0000023376*1000000</f>
        <v>2.3375999999999997</v>
      </c>
      <c r="K13" s="17">
        <f t="shared" si="7"/>
        <v>0.23375999999999997</v>
      </c>
      <c r="L13" s="3">
        <v>50.74242</v>
      </c>
      <c r="M13" s="12">
        <f t="shared" si="5"/>
        <v>-65.07248801159832</v>
      </c>
      <c r="N13" s="1">
        <f t="shared" si="0"/>
        <v>6.247395012214907E-06</v>
      </c>
      <c r="O13" s="22">
        <f t="shared" si="6"/>
        <v>6.247395012214907E-06</v>
      </c>
      <c r="P13" s="3">
        <f t="shared" si="1"/>
        <v>37417.195413920905</v>
      </c>
      <c r="Q13" s="9"/>
      <c r="R13" s="1"/>
      <c r="S13" s="1"/>
      <c r="T13" s="1"/>
    </row>
    <row r="14" spans="1:20" ht="12.75">
      <c r="A14" s="2" t="s">
        <v>2</v>
      </c>
      <c r="B14" s="1">
        <v>5</v>
      </c>
      <c r="C14" s="1">
        <f t="shared" si="2"/>
        <v>25</v>
      </c>
      <c r="D14" s="3">
        <f aca="true" t="shared" si="8" ref="D14:D19">EXP(-(F14-28.85164)/16.81668)-0.05077</f>
        <v>0.02816162366455951</v>
      </c>
      <c r="E14" s="1">
        <v>187</v>
      </c>
      <c r="F14" s="6">
        <f aca="true" t="shared" si="9" ref="F14:F19">72.7*E14/190</f>
        <v>71.5521052631579</v>
      </c>
      <c r="G14" s="17">
        <f aca="true" t="shared" si="10" ref="G14:G19">ABS((D14-D7)*0.03/2)</f>
        <v>0.002077575645031607</v>
      </c>
      <c r="H14" s="7">
        <f aca="true" t="shared" si="11" ref="H14:H19">D7/G14</f>
        <v>80.22170796295174</v>
      </c>
      <c r="I14" s="7"/>
      <c r="J14" s="17">
        <f>0.00000251694*1000000</f>
        <v>2.51694</v>
      </c>
      <c r="K14" s="17">
        <f t="shared" si="7"/>
        <v>0.251694</v>
      </c>
      <c r="L14" s="3">
        <v>49.57541</v>
      </c>
      <c r="M14" s="12">
        <f t="shared" si="5"/>
        <v>-62.04750752760127</v>
      </c>
      <c r="N14" s="1">
        <f t="shared" si="0"/>
        <v>6.413994143185385E-06</v>
      </c>
      <c r="O14" s="22">
        <f t="shared" si="6"/>
        <v>6.413994143185385E-06</v>
      </c>
      <c r="P14" s="3">
        <f t="shared" si="1"/>
        <v>39241.38288579744</v>
      </c>
      <c r="Q14" s="9"/>
      <c r="R14" s="1"/>
      <c r="S14" s="1"/>
      <c r="T14" s="1"/>
    </row>
    <row r="15" spans="1:20" ht="12.75">
      <c r="A15" s="2" t="s">
        <v>3</v>
      </c>
      <c r="B15" s="1">
        <v>7.5</v>
      </c>
      <c r="C15" s="1">
        <f t="shared" si="2"/>
        <v>22.5</v>
      </c>
      <c r="D15" s="3">
        <f t="shared" si="8"/>
        <v>0.057770712770242406</v>
      </c>
      <c r="E15" s="1">
        <v>173</v>
      </c>
      <c r="F15" s="6">
        <f t="shared" si="9"/>
        <v>66.19526315789474</v>
      </c>
      <c r="G15" s="17">
        <f t="shared" si="10"/>
        <v>0.0028834393084463637</v>
      </c>
      <c r="H15" s="7">
        <f t="shared" si="11"/>
        <v>86.70201563378957</v>
      </c>
      <c r="I15" s="7"/>
      <c r="J15" s="17">
        <f>0.00000269628*1000000</f>
        <v>2.69628</v>
      </c>
      <c r="K15" s="17">
        <f t="shared" si="7"/>
        <v>0.269628</v>
      </c>
      <c r="L15" s="3">
        <v>48.46265</v>
      </c>
      <c r="M15" s="12">
        <f t="shared" si="5"/>
        <v>-59.16248466599748</v>
      </c>
      <c r="N15" s="1">
        <f t="shared" si="0"/>
        <v>6.5515302569475355E-06</v>
      </c>
      <c r="O15" s="22">
        <f t="shared" si="6"/>
        <v>6.5515302569475355E-06</v>
      </c>
      <c r="P15" s="3">
        <f t="shared" si="1"/>
        <v>41154.96524099456</v>
      </c>
      <c r="Q15" s="9"/>
      <c r="R15" s="1"/>
      <c r="S15" s="1"/>
      <c r="T15" s="1"/>
    </row>
    <row r="16" spans="1:20" ht="12.75">
      <c r="A16" s="2" t="s">
        <v>4</v>
      </c>
      <c r="B16" s="1">
        <v>10</v>
      </c>
      <c r="C16" s="1">
        <f t="shared" si="2"/>
        <v>20</v>
      </c>
      <c r="D16" s="3">
        <f t="shared" si="8"/>
        <v>0.1366214422401677</v>
      </c>
      <c r="E16" s="1">
        <v>149</v>
      </c>
      <c r="F16" s="6">
        <f t="shared" si="9"/>
        <v>57.0121052631579</v>
      </c>
      <c r="G16" s="17">
        <f t="shared" si="10"/>
        <v>0.002950678366397484</v>
      </c>
      <c r="H16" s="7">
        <f t="shared" si="11"/>
        <v>112.9683726729944</v>
      </c>
      <c r="I16" s="7"/>
      <c r="J16" s="17">
        <f>0.00000287562*1000000</f>
        <v>2.87562</v>
      </c>
      <c r="K16" s="17">
        <f t="shared" si="7"/>
        <v>0.287562</v>
      </c>
      <c r="L16" s="3">
        <v>47.40163</v>
      </c>
      <c r="M16" s="12">
        <f t="shared" si="5"/>
        <v>-56.411843425894446</v>
      </c>
      <c r="N16" s="1">
        <f t="shared" si="0"/>
        <v>6.662437426529597E-06</v>
      </c>
      <c r="O16" s="22">
        <f t="shared" si="6"/>
        <v>6.662437426529597E-06</v>
      </c>
      <c r="P16" s="3">
        <f t="shared" si="1"/>
        <v>43161.68116715633</v>
      </c>
      <c r="Q16" s="9"/>
      <c r="R16" s="1"/>
      <c r="S16" s="1"/>
      <c r="T16" s="1"/>
    </row>
    <row r="17" spans="1:20" ht="12.75">
      <c r="A17" s="2" t="s">
        <v>5</v>
      </c>
      <c r="B17" s="1">
        <v>15</v>
      </c>
      <c r="C17" s="1">
        <f t="shared" si="2"/>
        <v>15</v>
      </c>
      <c r="D17" s="3">
        <f t="shared" si="8"/>
        <v>0.28781672650763346</v>
      </c>
      <c r="E17" s="1">
        <v>123</v>
      </c>
      <c r="F17" s="6">
        <f t="shared" si="9"/>
        <v>47.06368421052632</v>
      </c>
      <c r="G17" s="17">
        <f t="shared" si="10"/>
        <v>0.003182749102385498</v>
      </c>
      <c r="H17" s="7">
        <f t="shared" si="11"/>
        <v>157.09689451337704</v>
      </c>
      <c r="I17" s="7"/>
      <c r="J17" s="17">
        <f>0.00000305496*1000000</f>
        <v>3.0549600000000003</v>
      </c>
      <c r="K17" s="17">
        <f t="shared" si="7"/>
        <v>0.30549600000000005</v>
      </c>
      <c r="L17" s="3">
        <v>46.38994</v>
      </c>
      <c r="M17" s="12">
        <f t="shared" si="5"/>
        <v>-53.789450206312296</v>
      </c>
      <c r="N17" s="1">
        <f t="shared" si="0"/>
        <v>6.74891548084572E-06</v>
      </c>
      <c r="O17" s="22">
        <f t="shared" si="6"/>
        <v>6.74891548084572E-06</v>
      </c>
      <c r="P17" s="3">
        <f t="shared" si="1"/>
        <v>45265.93952273318</v>
      </c>
      <c r="Q17" s="9"/>
      <c r="R17" s="1"/>
      <c r="S17" s="1"/>
      <c r="T17" s="1"/>
    </row>
    <row r="18" spans="1:20" ht="12.75">
      <c r="A18" s="2" t="s">
        <v>6</v>
      </c>
      <c r="B18" s="1">
        <v>20</v>
      </c>
      <c r="C18" s="1">
        <f t="shared" si="2"/>
        <v>10</v>
      </c>
      <c r="D18" s="3">
        <f t="shared" si="8"/>
        <v>0.44771970878324263</v>
      </c>
      <c r="E18" s="1">
        <v>106</v>
      </c>
      <c r="F18" s="6">
        <f t="shared" si="9"/>
        <v>40.55894736842106</v>
      </c>
      <c r="G18" s="17">
        <f t="shared" si="10"/>
        <v>0.0032842043682513597</v>
      </c>
      <c r="H18" s="7">
        <f t="shared" si="11"/>
        <v>202.99183361162946</v>
      </c>
      <c r="I18" s="7"/>
      <c r="J18" s="17">
        <f>0.0000032343*1000000</f>
        <v>3.2343</v>
      </c>
      <c r="K18" s="17">
        <f t="shared" si="7"/>
        <v>0.32343</v>
      </c>
      <c r="L18" s="3">
        <v>45.42528</v>
      </c>
      <c r="M18" s="12">
        <f t="shared" si="5"/>
        <v>-51.2886138061781</v>
      </c>
      <c r="N18" s="1">
        <f t="shared" si="0"/>
        <v>6.812909469380688E-06</v>
      </c>
      <c r="O18" s="22">
        <f t="shared" si="6"/>
        <v>6.812909469380688E-06</v>
      </c>
      <c r="P18" s="3">
        <f t="shared" si="1"/>
        <v>47473.109903132274</v>
      </c>
      <c r="Q18" s="9"/>
      <c r="R18" s="1"/>
      <c r="S18" s="1"/>
      <c r="T18" s="1"/>
    </row>
    <row r="19" spans="1:20" ht="12.75">
      <c r="A19" s="2" t="s">
        <v>7</v>
      </c>
      <c r="B19" s="1">
        <v>30</v>
      </c>
      <c r="C19" s="1">
        <f t="shared" si="2"/>
        <v>0</v>
      </c>
      <c r="D19" s="3">
        <f t="shared" si="8"/>
        <v>0.7904928987611636</v>
      </c>
      <c r="E19" s="1">
        <v>83</v>
      </c>
      <c r="F19" s="6">
        <f t="shared" si="9"/>
        <v>31.75842105263158</v>
      </c>
      <c r="G19" s="17">
        <f t="shared" si="10"/>
        <v>0.0031426065185825463</v>
      </c>
      <c r="H19" s="7">
        <f t="shared" si="11"/>
        <v>318.2071933240449</v>
      </c>
      <c r="I19" s="7"/>
      <c r="J19" s="17">
        <f>0.00000341364*1000000</f>
        <v>3.41364</v>
      </c>
      <c r="K19" s="17">
        <f t="shared" si="7"/>
        <v>0.341364</v>
      </c>
      <c r="L19" s="3">
        <v>44.50547</v>
      </c>
      <c r="M19" s="12">
        <f t="shared" si="5"/>
        <v>-48.90431582469075</v>
      </c>
      <c r="N19" s="1">
        <f t="shared" si="0"/>
        <v>6.856401829770347E-06</v>
      </c>
      <c r="O19" s="22">
        <f t="shared" si="6"/>
        <v>6.856401829770347E-06</v>
      </c>
      <c r="P19" s="3">
        <f t="shared" si="1"/>
        <v>49787.63037455083</v>
      </c>
      <c r="Q19" s="9"/>
      <c r="R19" s="1"/>
      <c r="S19" s="1"/>
      <c r="T19" s="1"/>
    </row>
    <row r="20" spans="1:20" ht="12.75">
      <c r="A20" s="1"/>
      <c r="B20" s="1"/>
      <c r="C20" s="1"/>
      <c r="D20" s="1"/>
      <c r="E20" s="1"/>
      <c r="F20" s="7"/>
      <c r="G20" s="7"/>
      <c r="H20" s="7"/>
      <c r="I20" s="7"/>
      <c r="J20" s="17">
        <f>0.00000359298*1000000</f>
        <v>3.59298</v>
      </c>
      <c r="K20" s="17">
        <f t="shared" si="7"/>
        <v>0.359298</v>
      </c>
      <c r="L20" s="3">
        <v>43.62842</v>
      </c>
      <c r="M20" s="12">
        <f t="shared" si="5"/>
        <v>-46.63042266086755</v>
      </c>
      <c r="N20" s="1">
        <f t="shared" si="0"/>
        <v>6.881062579812304E-06</v>
      </c>
      <c r="O20" s="22">
        <f t="shared" si="6"/>
        <v>6.881062579812304E-06</v>
      </c>
      <c r="P20" s="3">
        <f t="shared" si="1"/>
        <v>52215.48210506184</v>
      </c>
      <c r="Q20" s="9"/>
      <c r="R20" s="1"/>
      <c r="S20" s="1"/>
      <c r="T20" s="1"/>
    </row>
    <row r="21" spans="1:20" ht="12.75">
      <c r="A21" s="5" t="s">
        <v>8</v>
      </c>
      <c r="B21" s="5"/>
      <c r="C21" s="5"/>
      <c r="D21" s="1"/>
      <c r="E21" s="1"/>
      <c r="F21" s="7"/>
      <c r="G21" s="7"/>
      <c r="H21" s="7"/>
      <c r="I21" s="7"/>
      <c r="J21" s="17">
        <f>0.00000377232*1000000</f>
        <v>3.77232</v>
      </c>
      <c r="K21" s="17">
        <f t="shared" si="7"/>
        <v>0.377232</v>
      </c>
      <c r="L21" s="3">
        <v>42.79215</v>
      </c>
      <c r="M21" s="12">
        <f t="shared" si="5"/>
        <v>-44.462473513995754</v>
      </c>
      <c r="N21" s="1">
        <f t="shared" si="0"/>
        <v>6.888640196084181E-06</v>
      </c>
      <c r="O21" s="22">
        <f t="shared" si="6"/>
        <v>6.888640196084181E-06</v>
      </c>
      <c r="P21" s="3">
        <f t="shared" si="1"/>
        <v>54761.4607908301</v>
      </c>
      <c r="Q21" s="9"/>
      <c r="R21" s="1"/>
      <c r="S21" s="1"/>
      <c r="T21" s="1"/>
    </row>
    <row r="22" spans="1:20" ht="12.75">
      <c r="A22" s="5" t="s">
        <v>36</v>
      </c>
      <c r="B22" s="5"/>
      <c r="C22" s="5"/>
      <c r="D22" s="1"/>
      <c r="E22" s="1"/>
      <c r="F22" s="1"/>
      <c r="G22" s="10"/>
      <c r="H22" s="10"/>
      <c r="I22" s="10"/>
      <c r="J22" s="18">
        <f>0.00000395166*1000000</f>
        <v>3.9516600000000004</v>
      </c>
      <c r="K22" s="17">
        <f t="shared" si="7"/>
        <v>0.395166</v>
      </c>
      <c r="L22" s="3">
        <v>41.99476</v>
      </c>
      <c r="M22" s="12">
        <f t="shared" si="5"/>
        <v>-42.3948923831826</v>
      </c>
      <c r="N22" s="1">
        <f t="shared" si="0"/>
        <v>6.880570735325561E-06</v>
      </c>
      <c r="O22" s="10"/>
      <c r="P22" s="10"/>
      <c r="Q22" s="1"/>
      <c r="R22" s="1"/>
      <c r="S22" s="1"/>
      <c r="T22" s="1"/>
    </row>
    <row r="23" spans="1:20" ht="12.75">
      <c r="A23" s="5" t="s">
        <v>35</v>
      </c>
      <c r="B23" s="5"/>
      <c r="C23" s="1"/>
      <c r="D23" s="1"/>
      <c r="E23" s="1"/>
      <c r="F23" s="1"/>
      <c r="G23" s="1"/>
      <c r="H23" s="1"/>
      <c r="I23" s="1"/>
      <c r="J23" s="17">
        <f>0.000004131*1000000</f>
        <v>4.131</v>
      </c>
      <c r="K23" s="17">
        <f t="shared" si="7"/>
        <v>0.4131</v>
      </c>
      <c r="L23" s="3">
        <v>41.23445</v>
      </c>
      <c r="M23" s="12">
        <f t="shared" si="5"/>
        <v>-40.42433366789332</v>
      </c>
      <c r="N23" s="1">
        <f t="shared" si="0"/>
        <v>6.8585043876602186E-06</v>
      </c>
      <c r="O23" s="1"/>
      <c r="P23" s="1"/>
      <c r="Q23" s="1"/>
      <c r="R23" s="1"/>
      <c r="S23" s="1"/>
      <c r="T23" s="1"/>
    </row>
    <row r="24" spans="1:20" ht="12.75">
      <c r="A24" s="4" t="s">
        <v>37</v>
      </c>
      <c r="B24" s="1"/>
      <c r="C24" s="1"/>
      <c r="D24" s="1"/>
      <c r="E24" s="1"/>
      <c r="F24" s="1"/>
      <c r="G24" s="1"/>
      <c r="H24" s="1"/>
      <c r="I24" s="1"/>
      <c r="J24" s="17">
        <f>0.00000431034*1000000</f>
        <v>4.31034</v>
      </c>
      <c r="K24" s="17">
        <f t="shared" si="7"/>
        <v>0.43103400000000003</v>
      </c>
      <c r="L24" s="3">
        <v>40.50948</v>
      </c>
      <c r="M24" s="12">
        <f t="shared" si="5"/>
        <v>-38.54522136723569</v>
      </c>
      <c r="N24" s="1">
        <f t="shared" si="0"/>
        <v>6.823597929549525E-06</v>
      </c>
      <c r="O24" s="1"/>
      <c r="P24" s="1"/>
      <c r="Q24" s="1"/>
      <c r="R24" s="1"/>
      <c r="S24" s="1"/>
      <c r="T24" s="1"/>
    </row>
    <row r="25" spans="1:20" ht="12.75">
      <c r="A25" s="2" t="s">
        <v>13</v>
      </c>
      <c r="B25" s="1"/>
      <c r="C25" s="1"/>
      <c r="D25" s="1"/>
      <c r="E25" s="1"/>
      <c r="F25" s="1"/>
      <c r="G25" s="1"/>
      <c r="H25" s="1"/>
      <c r="I25" s="1"/>
      <c r="J25" s="17">
        <f>0.00000448968*1000000</f>
        <v>4.48968</v>
      </c>
      <c r="K25" s="17">
        <f t="shared" si="7"/>
        <v>0.448968</v>
      </c>
      <c r="L25" s="3">
        <v>39.81821</v>
      </c>
      <c r="M25" s="12">
        <f t="shared" si="5"/>
        <v>-36.75458651647802</v>
      </c>
      <c r="N25" s="1">
        <f t="shared" si="0"/>
        <v>6.7773245767179245E-06</v>
      </c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7">
        <f>0.00000466901*1000000</f>
        <v>4.66901</v>
      </c>
      <c r="K26" s="17">
        <f t="shared" si="7"/>
        <v>0.466901</v>
      </c>
      <c r="L26" s="3">
        <v>39.15909</v>
      </c>
      <c r="M26" s="12">
        <f t="shared" si="5"/>
        <v>-35.044608007137235</v>
      </c>
      <c r="N26" s="1">
        <f t="shared" si="0"/>
        <v>6.720125233852213E-06</v>
      </c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7">
        <f>0.00000484835*1000000</f>
        <v>4.84835</v>
      </c>
      <c r="K27" s="17">
        <f t="shared" si="7"/>
        <v>0.484835</v>
      </c>
      <c r="L27" s="3">
        <v>38.5306</v>
      </c>
      <c r="M27" s="12">
        <f t="shared" si="5"/>
        <v>-33.41474294635892</v>
      </c>
      <c r="N27" s="1">
        <f t="shared" si="0"/>
        <v>6.653703501434567E-06</v>
      </c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7">
        <f>0.00000502769*1000000</f>
        <v>5.027690000000001</v>
      </c>
      <c r="K28" s="17">
        <f t="shared" si="7"/>
        <v>0.502769</v>
      </c>
      <c r="L28" s="3">
        <v>37.93134</v>
      </c>
      <c r="M28" s="12">
        <f t="shared" si="5"/>
        <v>-31.861269097803078</v>
      </c>
      <c r="N28" s="1">
        <f t="shared" si="0"/>
        <v>6.579045930530409E-06</v>
      </c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7">
        <f>0.00000520703*1000000</f>
        <v>5.20703</v>
      </c>
      <c r="K29" s="17">
        <f t="shared" si="7"/>
        <v>0.5207029999999999</v>
      </c>
      <c r="L29" s="3">
        <v>37.35994</v>
      </c>
      <c r="M29" s="12">
        <f t="shared" si="5"/>
        <v>-30.38028326084516</v>
      </c>
      <c r="N29" s="1">
        <f t="shared" si="0"/>
        <v>6.497005801132669E-06</v>
      </c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7">
        <f>0.00000538637*1000000</f>
        <v>5.38637</v>
      </c>
      <c r="K30" s="17">
        <f t="shared" si="7"/>
        <v>0.538637</v>
      </c>
      <c r="L30" s="3">
        <v>36.8151</v>
      </c>
      <c r="M30" s="12">
        <f t="shared" si="5"/>
        <v>-28.967324634771973</v>
      </c>
      <c r="N30" s="1">
        <f t="shared" si="0"/>
        <v>6.4081980422861855E-06</v>
      </c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6">
        <f>0.00000556571*1000000</f>
        <v>5.56571</v>
      </c>
      <c r="K31" s="17">
        <f t="shared" si="7"/>
        <v>0.556571</v>
      </c>
      <c r="L31" s="3">
        <v>36.2956</v>
      </c>
      <c r="M31" s="12">
        <f t="shared" si="5"/>
        <v>-27.62072041931537</v>
      </c>
      <c r="N31" s="1">
        <f t="shared" si="0"/>
        <v>6.313743458269684E-06</v>
      </c>
      <c r="O31" s="1"/>
      <c r="P31" s="1"/>
      <c r="Q31" s="1"/>
      <c r="R31" s="1"/>
      <c r="S31" s="1"/>
      <c r="T31" s="1"/>
    </row>
    <row r="32" spans="1:20" ht="15">
      <c r="A32" s="2" t="s">
        <v>20</v>
      </c>
      <c r="B32" s="2" t="s">
        <v>21</v>
      </c>
      <c r="C32" s="4" t="s">
        <v>22</v>
      </c>
      <c r="D32" s="2" t="s">
        <v>25</v>
      </c>
      <c r="E32" s="1"/>
      <c r="F32" s="1"/>
      <c r="G32" s="1"/>
      <c r="H32" s="1"/>
      <c r="I32" s="1"/>
      <c r="J32" s="17">
        <f>0.00000574505*1000000</f>
        <v>5.74505</v>
      </c>
      <c r="K32" s="17">
        <f t="shared" si="7"/>
        <v>0.574505</v>
      </c>
      <c r="L32" s="3">
        <v>35.80025</v>
      </c>
      <c r="M32" s="12">
        <f t="shared" si="5"/>
        <v>-26.337125013940128</v>
      </c>
      <c r="N32" s="1">
        <f t="shared" si="0"/>
        <v>6.214318866669818E-06</v>
      </c>
      <c r="O32" s="1"/>
      <c r="P32" s="1"/>
      <c r="Q32" s="1"/>
      <c r="R32" s="1"/>
      <c r="S32" s="1"/>
      <c r="T32" s="1"/>
    </row>
    <row r="33" spans="1:20" ht="12.75">
      <c r="A33" s="1">
        <f>1/94582</f>
        <v>1.0572836269057537E-05</v>
      </c>
      <c r="B33" s="1">
        <f>1/A33/16601</f>
        <v>5.697367628456117</v>
      </c>
      <c r="C33" s="1">
        <f>1/A33/6.02E+23</f>
        <v>1.5711295681063124E-19</v>
      </c>
      <c r="D33" s="1">
        <f>A33*74/810000</f>
        <v>9.659134369262442E-10</v>
      </c>
      <c r="E33" s="1"/>
      <c r="F33" s="1"/>
      <c r="G33" s="1"/>
      <c r="H33" s="1"/>
      <c r="I33" s="1"/>
      <c r="J33" s="17">
        <f>0.00000592439*1000000</f>
        <v>5.92439</v>
      </c>
      <c r="K33" s="17">
        <f t="shared" si="7"/>
        <v>0.5924389999999999</v>
      </c>
      <c r="L33" s="3">
        <v>35.32792</v>
      </c>
      <c r="M33" s="12">
        <f t="shared" si="5"/>
        <v>-25.112077617932204</v>
      </c>
      <c r="N33" s="1">
        <f t="shared" si="0"/>
        <v>6.110231166812523E-06</v>
      </c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7">
        <f>0.00000610373*1000000</f>
        <v>6.10373</v>
      </c>
      <c r="K34" s="17">
        <f t="shared" si="7"/>
        <v>0.6103729999999999</v>
      </c>
      <c r="L34" s="3">
        <v>34.87756</v>
      </c>
      <c r="M34" s="12">
        <f t="shared" si="5"/>
        <v>-23.94502063120349</v>
      </c>
      <c r="N34" s="1">
        <f aca="true" t="shared" si="12" ref="N34:N61">-(K34*M34)/(8.31*293*1000)</f>
        <v>6.0026343020784065E-06</v>
      </c>
      <c r="O34" s="1"/>
      <c r="P34" s="1"/>
      <c r="Q34" s="1"/>
      <c r="R34" s="1"/>
      <c r="S34" s="1"/>
      <c r="T34" s="1"/>
    </row>
    <row r="35" spans="1:20" ht="16.5">
      <c r="A35" s="2" t="s">
        <v>26</v>
      </c>
      <c r="B35" s="2" t="s">
        <v>27</v>
      </c>
      <c r="C35" s="2" t="s">
        <v>28</v>
      </c>
      <c r="D35" s="2"/>
      <c r="E35" s="1"/>
      <c r="F35" s="1"/>
      <c r="G35" s="1"/>
      <c r="H35" s="1"/>
      <c r="I35" s="1"/>
      <c r="J35" s="17">
        <f>0.00000628307*1000000</f>
        <v>6.2830699999999995</v>
      </c>
      <c r="K35" s="17">
        <f t="shared" si="7"/>
        <v>0.628307</v>
      </c>
      <c r="L35" s="3">
        <v>34.44813</v>
      </c>
      <c r="M35" s="12">
        <f t="shared" si="5"/>
        <v>-22.831493253038534</v>
      </c>
      <c r="N35" s="1">
        <f t="shared" si="12"/>
        <v>5.8916585680876615E-06</v>
      </c>
      <c r="O35" s="1"/>
      <c r="P35" s="1"/>
      <c r="Q35" s="1"/>
      <c r="R35" s="1"/>
      <c r="S35" s="1"/>
      <c r="T35" s="1"/>
    </row>
    <row r="36" spans="1:20" ht="12.75">
      <c r="A36" s="19">
        <f>1/290.79</f>
        <v>0.0034389078028818046</v>
      </c>
      <c r="B36" s="3">
        <f>1/18.342/A36</f>
        <v>15.853778213935234</v>
      </c>
      <c r="C36" s="3">
        <f>A36/A33</f>
        <v>325.25877781216684</v>
      </c>
      <c r="D36" s="1"/>
      <c r="E36" s="1"/>
      <c r="F36" s="1"/>
      <c r="G36" s="1"/>
      <c r="H36" s="1"/>
      <c r="I36" s="1"/>
      <c r="J36" s="17">
        <f>0.00000646241*1000000</f>
        <v>6.46241</v>
      </c>
      <c r="K36" s="17">
        <f t="shared" si="7"/>
        <v>0.6462410000000001</v>
      </c>
      <c r="L36" s="3">
        <v>34.03867</v>
      </c>
      <c r="M36" s="12">
        <f t="shared" si="5"/>
        <v>-21.76982268317209</v>
      </c>
      <c r="N36" s="1">
        <f t="shared" si="12"/>
        <v>5.778042812268544E-06</v>
      </c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7">
        <f>0.00000664175*1000000</f>
        <v>6.64175</v>
      </c>
      <c r="K37" s="17">
        <f t="shared" si="7"/>
        <v>0.664175</v>
      </c>
      <c r="L37" s="3">
        <v>33.64825</v>
      </c>
      <c r="M37" s="12">
        <f t="shared" si="5"/>
        <v>-20.75833612133357</v>
      </c>
      <c r="N37" s="1">
        <f t="shared" si="12"/>
        <v>5.662476597292921E-06</v>
      </c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7">
        <f>0.00000682109*1000000</f>
        <v>6.82109</v>
      </c>
      <c r="K38" s="17">
        <f t="shared" si="7"/>
        <v>0.682109</v>
      </c>
      <c r="L38" s="3">
        <v>33.27597</v>
      </c>
      <c r="M38" s="12">
        <f t="shared" si="5"/>
        <v>-19.792572766811425</v>
      </c>
      <c r="N38" s="1">
        <f t="shared" si="12"/>
        <v>5.544819152629536E-06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7">
        <f>0.00000700043*1000000</f>
        <v>7.000430000000001</v>
      </c>
      <c r="K39" s="17">
        <f t="shared" si="7"/>
        <v>0.7000430000000001</v>
      </c>
      <c r="L39" s="3">
        <v>32.92101</v>
      </c>
      <c r="M39" s="12">
        <f t="shared" si="5"/>
        <v>-18.8725326196056</v>
      </c>
      <c r="N39" s="1">
        <f t="shared" si="12"/>
        <v>5.4260808157557465E-06</v>
      </c>
      <c r="O39" s="1"/>
      <c r="P39" s="1"/>
      <c r="Q39" s="1"/>
      <c r="R39" s="1"/>
      <c r="S39" s="1"/>
      <c r="T39" s="1"/>
    </row>
    <row r="40" spans="1:20" ht="12.75">
      <c r="A40" s="2" t="s">
        <v>29</v>
      </c>
      <c r="B40" s="2" t="s">
        <v>30</v>
      </c>
      <c r="C40" s="2" t="s">
        <v>31</v>
      </c>
      <c r="D40" s="2"/>
      <c r="E40" s="2" t="s">
        <v>34</v>
      </c>
      <c r="F40" s="2" t="s">
        <v>32</v>
      </c>
      <c r="G40" s="2"/>
      <c r="H40" s="2" t="s">
        <v>33</v>
      </c>
      <c r="I40" s="1"/>
      <c r="J40" s="17">
        <f>0.00000717977*1000000</f>
        <v>7.1797699999999995</v>
      </c>
      <c r="K40" s="17">
        <f t="shared" si="7"/>
        <v>0.717977</v>
      </c>
      <c r="L40" s="3">
        <v>32.58255</v>
      </c>
      <c r="M40" s="12">
        <f t="shared" si="5"/>
        <v>-17.99542767926842</v>
      </c>
      <c r="N40" s="1">
        <f t="shared" si="12"/>
        <v>5.3064498050698005E-06</v>
      </c>
      <c r="O40" s="1"/>
      <c r="P40" s="1"/>
      <c r="Q40" s="1"/>
      <c r="R40" s="1"/>
      <c r="S40" s="1"/>
      <c r="T40" s="1"/>
    </row>
    <row r="41" spans="1:20" ht="12.75">
      <c r="A41" s="1">
        <f>O2/0.0000105</f>
        <v>0.156785251525643</v>
      </c>
      <c r="B41" s="1">
        <f>1-A41</f>
        <v>0.8432147484743571</v>
      </c>
      <c r="C41" s="1">
        <f>5.69758*K2</f>
        <v>0.20788475267</v>
      </c>
      <c r="D41" s="1">
        <f>A41/B41</f>
        <v>0.18593751094761712</v>
      </c>
      <c r="E41" s="1">
        <f aca="true" t="shared" si="13" ref="E41:E46">G14/0.0034</f>
        <v>0.6110516603034138</v>
      </c>
      <c r="F41" s="1">
        <f aca="true" t="shared" si="14" ref="F41:F46">1-E41</f>
        <v>0.38894833969658615</v>
      </c>
      <c r="G41" s="1">
        <f aca="true" t="shared" si="15" ref="G41:G46">E41/F41</f>
        <v>1.5710355282145896</v>
      </c>
      <c r="H41" s="1">
        <f aca="true" t="shared" si="16" ref="H41:H46">15.85*D14</f>
        <v>0.4463617350832682</v>
      </c>
      <c r="I41" s="1"/>
      <c r="J41" s="17">
        <f>0.00000735911*1000000</f>
        <v>7.35911</v>
      </c>
      <c r="K41" s="17">
        <f t="shared" si="7"/>
        <v>0.735911</v>
      </c>
      <c r="L41" s="3">
        <v>32.25982</v>
      </c>
      <c r="M41" s="12">
        <f t="shared" si="5"/>
        <v>-17.158469945354977</v>
      </c>
      <c r="N41" s="1">
        <f t="shared" si="12"/>
        <v>5.186032197712417E-06</v>
      </c>
      <c r="O41" s="1"/>
      <c r="P41" s="1"/>
      <c r="Q41" s="1"/>
      <c r="R41" s="1"/>
      <c r="S41" s="1"/>
      <c r="T41" s="1"/>
    </row>
    <row r="42" spans="1:20" ht="12.75">
      <c r="A42" s="1">
        <f aca="true" t="shared" si="17" ref="A42:A59">O3/0.0000105</f>
        <v>0.22297672633663215</v>
      </c>
      <c r="B42" s="1">
        <f aca="true" t="shared" si="18" ref="B42:B60">1-A42</f>
        <v>0.7770232736633679</v>
      </c>
      <c r="C42" s="1">
        <f aca="true" t="shared" si="19" ref="C42:C60">5.69758*K3</f>
        <v>0.31006515239000004</v>
      </c>
      <c r="D42" s="1">
        <f aca="true" t="shared" si="20" ref="D42:D60">A42/B42</f>
        <v>0.28696273830432656</v>
      </c>
      <c r="E42" s="1">
        <f t="shared" si="13"/>
        <v>0.8480703848371659</v>
      </c>
      <c r="F42" s="1">
        <f t="shared" si="14"/>
        <v>0.1519296151628341</v>
      </c>
      <c r="G42" s="1">
        <f t="shared" si="15"/>
        <v>5.581995214877802</v>
      </c>
      <c r="H42" s="1">
        <f t="shared" si="16"/>
        <v>0.9156657974083421</v>
      </c>
      <c r="I42" s="1"/>
      <c r="J42" s="17">
        <f>0.00000753845*1000000</f>
        <v>7.53845</v>
      </c>
      <c r="K42" s="17">
        <f t="shared" si="7"/>
        <v>0.753845</v>
      </c>
      <c r="L42" s="3">
        <v>31.9521</v>
      </c>
      <c r="M42" s="12">
        <f t="shared" si="5"/>
        <v>-16.361101817776348</v>
      </c>
      <c r="N42" s="1">
        <f t="shared" si="12"/>
        <v>5.0655424813320076E-06</v>
      </c>
      <c r="O42" s="1"/>
      <c r="P42" s="1"/>
      <c r="Q42" s="1"/>
      <c r="R42" s="1"/>
      <c r="S42" s="1"/>
      <c r="T42" s="1"/>
    </row>
    <row r="43" spans="1:20" ht="12.75">
      <c r="A43" s="1">
        <f t="shared" si="17"/>
        <v>0.2826741150686598</v>
      </c>
      <c r="B43" s="1">
        <f t="shared" si="18"/>
        <v>0.7173258849313402</v>
      </c>
      <c r="C43" s="1">
        <f t="shared" si="19"/>
        <v>0.412244982352</v>
      </c>
      <c r="D43" s="1">
        <f t="shared" si="20"/>
        <v>0.39406651984365004</v>
      </c>
      <c r="E43" s="1">
        <f t="shared" si="13"/>
        <v>0.8678465783522012</v>
      </c>
      <c r="F43" s="1">
        <f t="shared" si="14"/>
        <v>0.13215342164779875</v>
      </c>
      <c r="G43" s="1">
        <f t="shared" si="15"/>
        <v>6.566962607030287</v>
      </c>
      <c r="H43" s="1">
        <f t="shared" si="16"/>
        <v>2.165449859506658</v>
      </c>
      <c r="I43" s="1"/>
      <c r="J43" s="17">
        <f>0.00000771779*1000000</f>
        <v>7.71779</v>
      </c>
      <c r="K43" s="17">
        <f t="shared" si="7"/>
        <v>0.771779</v>
      </c>
      <c r="L43" s="3">
        <v>31.65868</v>
      </c>
      <c r="M43" s="12">
        <f t="shared" si="5"/>
        <v>-15.599977695996381</v>
      </c>
      <c r="N43" s="1">
        <f t="shared" si="12"/>
        <v>4.944794990302563E-06</v>
      </c>
      <c r="O43" s="1"/>
      <c r="P43" s="1"/>
      <c r="Q43" s="1"/>
      <c r="R43" s="1"/>
      <c r="S43" s="1"/>
      <c r="T43" s="1"/>
    </row>
    <row r="44" spans="1:20" ht="12.75">
      <c r="A44" s="1">
        <f t="shared" si="17"/>
        <v>0.33634639181163783</v>
      </c>
      <c r="B44" s="1">
        <f t="shared" si="18"/>
        <v>0.6636536081883622</v>
      </c>
      <c r="C44" s="1">
        <f t="shared" si="19"/>
        <v>0.514425382072</v>
      </c>
      <c r="D44" s="1">
        <f t="shared" si="20"/>
        <v>0.5068101606948153</v>
      </c>
      <c r="E44" s="1">
        <f t="shared" si="13"/>
        <v>0.9361026771722053</v>
      </c>
      <c r="F44" s="1">
        <f t="shared" si="14"/>
        <v>0.0638973228277947</v>
      </c>
      <c r="G44" s="1">
        <f t="shared" si="15"/>
        <v>14.650107950454068</v>
      </c>
      <c r="H44" s="1">
        <f t="shared" si="16"/>
        <v>4.56189511514599</v>
      </c>
      <c r="I44" s="1"/>
      <c r="J44" s="17">
        <f>0.00000789713*1000000</f>
        <v>7.89713</v>
      </c>
      <c r="K44" s="17">
        <f t="shared" si="7"/>
        <v>0.789713</v>
      </c>
      <c r="L44" s="3">
        <v>31.37891</v>
      </c>
      <c r="M44" s="12">
        <f t="shared" si="5"/>
        <v>-14.87509758001576</v>
      </c>
      <c r="N44" s="1">
        <f t="shared" si="12"/>
        <v>4.824590601892939E-06</v>
      </c>
      <c r="O44" s="1"/>
      <c r="P44" s="1"/>
      <c r="Q44" s="1"/>
      <c r="R44" s="1"/>
      <c r="S44" s="1"/>
      <c r="T44" s="1"/>
    </row>
    <row r="45" spans="1:20" ht="12.75">
      <c r="A45" s="1">
        <f t="shared" si="17"/>
        <v>0.38440309649218823</v>
      </c>
      <c r="B45" s="1">
        <f t="shared" si="18"/>
        <v>0.6155969035078117</v>
      </c>
      <c r="C45" s="1">
        <f t="shared" si="19"/>
        <v>0.61660350276</v>
      </c>
      <c r="D45" s="1">
        <f t="shared" si="20"/>
        <v>0.6244396199879688</v>
      </c>
      <c r="E45" s="1">
        <f t="shared" si="13"/>
        <v>0.9659424612504</v>
      </c>
      <c r="F45" s="1">
        <f t="shared" si="14"/>
        <v>0.03405753874960005</v>
      </c>
      <c r="G45" s="1">
        <f t="shared" si="15"/>
        <v>28.362074792082367</v>
      </c>
      <c r="H45" s="1">
        <f t="shared" si="16"/>
        <v>7.096357384214396</v>
      </c>
      <c r="I45" s="1"/>
      <c r="J45" s="17">
        <f>0.00000807647*1000000</f>
        <v>8.076469999999999</v>
      </c>
      <c r="K45" s="17">
        <f t="shared" si="7"/>
        <v>0.8076469999999999</v>
      </c>
      <c r="L45" s="3">
        <v>31.11214</v>
      </c>
      <c r="M45" s="12">
        <f t="shared" si="5"/>
        <v>-14.183115869298355</v>
      </c>
      <c r="N45" s="1">
        <f t="shared" si="12"/>
        <v>4.704620438589637E-06</v>
      </c>
      <c r="O45" s="1"/>
      <c r="P45" s="1"/>
      <c r="Q45" s="1"/>
      <c r="R45" s="1"/>
      <c r="S45" s="1"/>
      <c r="T45" s="1"/>
    </row>
    <row r="46" spans="1:20" ht="12.75">
      <c r="A46" s="1">
        <f t="shared" si="17"/>
        <v>0.4272699090422352</v>
      </c>
      <c r="B46" s="1">
        <f t="shared" si="18"/>
        <v>0.5727300909577648</v>
      </c>
      <c r="C46" s="1">
        <f t="shared" si="19"/>
        <v>0.71878390248</v>
      </c>
      <c r="D46" s="1">
        <f t="shared" si="20"/>
        <v>0.7460231543408528</v>
      </c>
      <c r="E46" s="1">
        <f t="shared" si="13"/>
        <v>0.9242960348772196</v>
      </c>
      <c r="F46" s="1">
        <f t="shared" si="14"/>
        <v>0.07570396512278044</v>
      </c>
      <c r="G46" s="1">
        <f t="shared" si="15"/>
        <v>12.209347732026329</v>
      </c>
      <c r="H46" s="1">
        <f t="shared" si="16"/>
        <v>12.529312445364443</v>
      </c>
      <c r="I46" s="1"/>
      <c r="J46" s="17">
        <f>0.00000825581*1000000</f>
        <v>8.25581</v>
      </c>
      <c r="K46" s="17">
        <f t="shared" si="7"/>
        <v>0.825581</v>
      </c>
      <c r="L46" s="3">
        <v>30.85778</v>
      </c>
      <c r="M46" s="12">
        <f t="shared" si="5"/>
        <v>-13.524032563845305</v>
      </c>
      <c r="N46" s="1">
        <f t="shared" si="12"/>
        <v>4.585611450529183E-06</v>
      </c>
      <c r="O46" s="1"/>
      <c r="P46" s="1"/>
      <c r="Q46" s="1"/>
      <c r="R46" s="1"/>
      <c r="S46" s="1"/>
      <c r="T46" s="1"/>
    </row>
    <row r="47" spans="1:20" ht="12.75">
      <c r="A47" s="1">
        <f t="shared" si="17"/>
        <v>0.46531938314088483</v>
      </c>
      <c r="B47" s="1">
        <f t="shared" si="18"/>
        <v>0.5346806168591152</v>
      </c>
      <c r="C47" s="1">
        <f t="shared" si="19"/>
        <v>0.8209643022</v>
      </c>
      <c r="D47" s="1">
        <f t="shared" si="20"/>
        <v>0.8702753914557808</v>
      </c>
      <c r="E47" s="1"/>
      <c r="F47" s="1"/>
      <c r="G47" s="1"/>
      <c r="H47" s="1"/>
      <c r="I47" s="1"/>
      <c r="J47" s="17">
        <f>0.00000843515*1000000</f>
        <v>8.43515</v>
      </c>
      <c r="K47" s="17">
        <f t="shared" si="7"/>
        <v>0.843515</v>
      </c>
      <c r="L47" s="3">
        <v>30.61524</v>
      </c>
      <c r="M47" s="12">
        <f t="shared" si="5"/>
        <v>-12.895059663209482</v>
      </c>
      <c r="N47" s="1">
        <f t="shared" si="12"/>
        <v>4.467324721566658E-06</v>
      </c>
      <c r="O47" s="1"/>
      <c r="P47" s="1"/>
      <c r="Q47" s="1"/>
      <c r="R47" s="1"/>
      <c r="S47" s="1"/>
      <c r="T47" s="1"/>
    </row>
    <row r="48" spans="1:20" ht="12.75">
      <c r="A48" s="1">
        <f t="shared" si="17"/>
        <v>0.498911564695207</v>
      </c>
      <c r="B48" s="1">
        <f t="shared" si="18"/>
        <v>0.5010884353047931</v>
      </c>
      <c r="C48" s="1">
        <f t="shared" si="19"/>
        <v>0.9231447019200001</v>
      </c>
      <c r="D48" s="1">
        <f t="shared" si="20"/>
        <v>0.9956557157255844</v>
      </c>
      <c r="E48" s="1"/>
      <c r="F48" s="1"/>
      <c r="G48" s="1"/>
      <c r="H48" s="1"/>
      <c r="I48" s="1"/>
      <c r="J48" s="17">
        <f>0.00000861449*1000000</f>
        <v>8.61449</v>
      </c>
      <c r="K48" s="17">
        <f t="shared" si="7"/>
        <v>0.861449</v>
      </c>
      <c r="L48" s="3">
        <v>30.38398</v>
      </c>
      <c r="M48" s="12">
        <f t="shared" si="5"/>
        <v>-12.295639567302299</v>
      </c>
      <c r="N48" s="1">
        <f t="shared" si="12"/>
        <v>4.350228315575625E-06</v>
      </c>
      <c r="O48" s="1"/>
      <c r="P48" s="1"/>
      <c r="Q48" s="1"/>
      <c r="R48" s="1"/>
      <c r="S48" s="1"/>
      <c r="T48" s="1"/>
    </row>
    <row r="49" spans="1:20" ht="12.75">
      <c r="A49" s="1">
        <f t="shared" si="17"/>
        <v>0.528367330811901</v>
      </c>
      <c r="B49" s="1">
        <f t="shared" si="18"/>
        <v>0.471632669188099</v>
      </c>
      <c r="C49" s="1">
        <f t="shared" si="19"/>
        <v>1.02532510164</v>
      </c>
      <c r="D49" s="1">
        <f t="shared" si="20"/>
        <v>1.1202941724148774</v>
      </c>
      <c r="E49" s="1"/>
      <c r="F49" s="1"/>
      <c r="G49" s="1"/>
      <c r="H49" s="1"/>
      <c r="I49" s="1"/>
      <c r="J49" s="17">
        <f>0.00000879383*1000000</f>
        <v>8.793830000000002</v>
      </c>
      <c r="K49" s="17">
        <f t="shared" si="7"/>
        <v>0.8793830000000001</v>
      </c>
      <c r="L49" s="3">
        <v>30.16347</v>
      </c>
      <c r="M49" s="12">
        <f t="shared" si="5"/>
        <v>-11.72475324820182</v>
      </c>
      <c r="N49" s="1">
        <f t="shared" si="12"/>
        <v>4.234607215149913E-06</v>
      </c>
      <c r="O49" s="1"/>
      <c r="P49" s="1"/>
      <c r="Q49" s="1"/>
      <c r="R49" s="1"/>
      <c r="S49" s="1"/>
      <c r="T49" s="1"/>
    </row>
    <row r="50" spans="1:20" ht="12.75">
      <c r="A50" s="1">
        <f>O11/0.0000105</f>
        <v>0.5540166763309851</v>
      </c>
      <c r="B50" s="1">
        <f t="shared" si="18"/>
        <v>0.44598332366901494</v>
      </c>
      <c r="C50" s="1">
        <f t="shared" si="19"/>
        <v>1.1275055013600002</v>
      </c>
      <c r="D50" s="1">
        <f t="shared" si="20"/>
        <v>1.2422363055488297</v>
      </c>
      <c r="E50" s="1"/>
      <c r="F50" s="1"/>
      <c r="G50" s="1"/>
      <c r="H50" s="1"/>
      <c r="I50" s="1"/>
      <c r="J50" s="17">
        <f>0.00000897316*1000000</f>
        <v>8.97316</v>
      </c>
      <c r="K50" s="17">
        <f t="shared" si="7"/>
        <v>0.897316</v>
      </c>
      <c r="L50" s="3">
        <v>29.95321</v>
      </c>
      <c r="M50" s="12">
        <f t="shared" si="5"/>
        <v>-11.179324188691783</v>
      </c>
      <c r="N50" s="1">
        <f t="shared" si="12"/>
        <v>4.119953534209845E-06</v>
      </c>
      <c r="O50" s="1"/>
      <c r="P50" s="1"/>
      <c r="Q50" s="1"/>
      <c r="R50" s="1"/>
      <c r="S50" s="1"/>
      <c r="T50" s="1"/>
    </row>
    <row r="51" spans="1:20" ht="12.75">
      <c r="A51" s="1">
        <f t="shared" si="17"/>
        <v>0.5761268774879507</v>
      </c>
      <c r="B51" s="1">
        <f t="shared" si="18"/>
        <v>0.42387312251204934</v>
      </c>
      <c r="C51" s="1">
        <f t="shared" si="19"/>
        <v>1.22968590108</v>
      </c>
      <c r="D51" s="1">
        <f t="shared" si="20"/>
        <v>1.3591965304937994</v>
      </c>
      <c r="E51" s="1"/>
      <c r="F51" s="1"/>
      <c r="G51" s="1"/>
      <c r="H51" s="1"/>
      <c r="I51" s="1"/>
      <c r="J51" s="17">
        <f>0.0000091525*1000000</f>
        <v>9.1525</v>
      </c>
      <c r="K51" s="17">
        <f t="shared" si="7"/>
        <v>0.91525</v>
      </c>
      <c r="L51" s="3">
        <v>29.75272</v>
      </c>
      <c r="M51" s="12">
        <f t="shared" si="5"/>
        <v>-10.659083305453326</v>
      </c>
      <c r="N51" s="1">
        <f t="shared" si="12"/>
        <v>4.006738045496465E-06</v>
      </c>
      <c r="O51" s="1"/>
      <c r="P51" s="1"/>
      <c r="Q51" s="1"/>
      <c r="R51" s="1"/>
      <c r="S51" s="1"/>
      <c r="T51" s="1"/>
    </row>
    <row r="52" spans="1:20" ht="12.75">
      <c r="A52" s="1">
        <f t="shared" si="17"/>
        <v>0.5949900011633246</v>
      </c>
      <c r="B52" s="1">
        <f t="shared" si="18"/>
        <v>0.40500999883667543</v>
      </c>
      <c r="C52" s="1">
        <f t="shared" si="19"/>
        <v>1.3318663007999998</v>
      </c>
      <c r="D52" s="1">
        <f t="shared" si="20"/>
        <v>1.4690748447503406</v>
      </c>
      <c r="E52" s="1"/>
      <c r="F52" s="1"/>
      <c r="G52" s="1"/>
      <c r="H52" s="1"/>
      <c r="I52" s="1"/>
      <c r="J52" s="17">
        <f>0.00000933184*1000000</f>
        <v>9.33184</v>
      </c>
      <c r="K52" s="17">
        <f t="shared" si="7"/>
        <v>0.933184</v>
      </c>
      <c r="L52" s="3">
        <v>29.56156</v>
      </c>
      <c r="M52" s="12">
        <f t="shared" si="5"/>
        <v>-10.163376826140299</v>
      </c>
      <c r="N52" s="1">
        <f t="shared" si="12"/>
        <v>3.895261944417026E-06</v>
      </c>
      <c r="O52" s="1"/>
      <c r="P52" s="1"/>
      <c r="Q52" s="1"/>
      <c r="R52" s="1"/>
      <c r="S52" s="1"/>
      <c r="T52" s="1"/>
    </row>
    <row r="53" spans="1:20" ht="12.75">
      <c r="A53" s="1">
        <f t="shared" si="17"/>
        <v>0.6108565850652748</v>
      </c>
      <c r="B53" s="1">
        <f t="shared" si="18"/>
        <v>0.38914341493472515</v>
      </c>
      <c r="C53" s="1">
        <f t="shared" si="19"/>
        <v>1.43404670052</v>
      </c>
      <c r="D53" s="1">
        <f t="shared" si="20"/>
        <v>1.5697466836686413</v>
      </c>
      <c r="E53" s="1"/>
      <c r="F53" s="1"/>
      <c r="G53" s="1"/>
      <c r="H53" s="1"/>
      <c r="I53" s="1"/>
      <c r="J53" s="17">
        <f>0.00000951118*1000000</f>
        <v>9.51118</v>
      </c>
      <c r="K53" s="17">
        <f t="shared" si="7"/>
        <v>0.9511179999999999</v>
      </c>
      <c r="L53" s="3">
        <v>29.37929</v>
      </c>
      <c r="M53" s="12">
        <f t="shared" si="5"/>
        <v>-9.691089550574322</v>
      </c>
      <c r="N53" s="1">
        <f t="shared" si="12"/>
        <v>3.785631732467214E-06</v>
      </c>
      <c r="O53" s="1"/>
      <c r="P53" s="1"/>
      <c r="Q53" s="1"/>
      <c r="R53" s="1"/>
      <c r="S53" s="1"/>
      <c r="T53" s="1"/>
    </row>
    <row r="54" spans="1:20" ht="12.75">
      <c r="A54" s="1">
        <f t="shared" si="17"/>
        <v>0.623955262566432</v>
      </c>
      <c r="B54" s="1">
        <f t="shared" si="18"/>
        <v>0.37604473743356803</v>
      </c>
      <c r="C54" s="1">
        <f t="shared" si="19"/>
        <v>1.5362271002399999</v>
      </c>
      <c r="D54" s="1">
        <f t="shared" si="20"/>
        <v>1.6592580628166875</v>
      </c>
      <c r="E54" s="1"/>
      <c r="F54" s="1"/>
      <c r="G54" s="1"/>
      <c r="H54" s="1"/>
      <c r="I54" s="1"/>
      <c r="J54" s="17">
        <f>0.00000969052*1000000</f>
        <v>9.69052</v>
      </c>
      <c r="K54" s="17">
        <f t="shared" si="7"/>
        <v>0.9690519999999999</v>
      </c>
      <c r="L54" s="3">
        <v>29.20549</v>
      </c>
      <c r="M54" s="12">
        <f t="shared" si="5"/>
        <v>-9.24054867848769</v>
      </c>
      <c r="N54" s="1">
        <f t="shared" si="12"/>
        <v>3.6776991321717954E-06</v>
      </c>
      <c r="O54" s="1"/>
      <c r="P54" s="1"/>
      <c r="Q54" s="1"/>
      <c r="R54" s="1"/>
      <c r="S54" s="1"/>
      <c r="T54" s="1"/>
    </row>
    <row r="55" spans="1:20" ht="12.75">
      <c r="A55" s="1">
        <f>O16/0.0000105</f>
        <v>0.634517850145676</v>
      </c>
      <c r="B55" s="1">
        <f t="shared" si="18"/>
        <v>0.36548214985432403</v>
      </c>
      <c r="C55" s="1">
        <f t="shared" si="19"/>
        <v>1.63840749996</v>
      </c>
      <c r="D55" s="1">
        <f t="shared" si="20"/>
        <v>1.7361117373272148</v>
      </c>
      <c r="E55" s="1"/>
      <c r="F55" s="1"/>
      <c r="G55" s="1"/>
      <c r="H55" s="1"/>
      <c r="I55" s="1"/>
      <c r="J55" s="17">
        <f>0.00000986986*1000000</f>
        <v>9.869860000000001</v>
      </c>
      <c r="K55" s="17">
        <f t="shared" si="7"/>
        <v>0.9869860000000001</v>
      </c>
      <c r="L55" s="3">
        <v>29.03977</v>
      </c>
      <c r="M55" s="12">
        <f t="shared" si="5"/>
        <v>-8.811196609791537</v>
      </c>
      <c r="N55" s="1">
        <f t="shared" si="12"/>
        <v>3.5717186403616317E-06</v>
      </c>
      <c r="O55" s="1"/>
      <c r="P55" s="1"/>
      <c r="Q55" s="1"/>
      <c r="R55" s="1"/>
      <c r="S55" s="1"/>
      <c r="T55" s="1"/>
    </row>
    <row r="56" spans="1:20" ht="12.75">
      <c r="A56" s="1">
        <f t="shared" si="17"/>
        <v>0.64275385531864</v>
      </c>
      <c r="B56" s="1">
        <f t="shared" si="18"/>
        <v>0.35724614468135996</v>
      </c>
      <c r="C56" s="1">
        <f t="shared" si="19"/>
        <v>1.7405878996800004</v>
      </c>
      <c r="D56" s="1">
        <f t="shared" si="20"/>
        <v>1.7991904598212927</v>
      </c>
      <c r="E56" s="1"/>
      <c r="F56" s="1"/>
      <c r="G56" s="1"/>
      <c r="H56" s="1"/>
      <c r="I56" s="1"/>
      <c r="J56" s="17">
        <f>0.0000100492*1000000</f>
        <v>10.0492</v>
      </c>
      <c r="K56" s="17">
        <f t="shared" si="7"/>
        <v>1.00492</v>
      </c>
      <c r="L56" s="3">
        <v>28.88175</v>
      </c>
      <c r="M56" s="12">
        <f t="shared" si="5"/>
        <v>-8.4032348020079</v>
      </c>
      <c r="N56" s="1">
        <f t="shared" si="12"/>
        <v>3.468241609161123E-06</v>
      </c>
      <c r="O56" s="1"/>
      <c r="P56" s="1"/>
      <c r="Q56" s="1"/>
      <c r="R56" s="1"/>
      <c r="S56" s="1"/>
      <c r="T56" s="1"/>
    </row>
    <row r="57" spans="1:20" ht="12.75">
      <c r="A57" s="1">
        <f t="shared" si="17"/>
        <v>0.6488485208933988</v>
      </c>
      <c r="B57" s="1">
        <f t="shared" si="18"/>
        <v>0.35115147910660116</v>
      </c>
      <c r="C57" s="1">
        <f t="shared" si="19"/>
        <v>1.8427682994</v>
      </c>
      <c r="D57" s="1">
        <f t="shared" si="20"/>
        <v>1.8477738511715738</v>
      </c>
      <c r="E57" s="1"/>
      <c r="F57" s="1"/>
      <c r="G57" s="1"/>
      <c r="H57" s="1"/>
      <c r="I57" s="1"/>
      <c r="J57" s="17">
        <f>0.0000102285*1000000</f>
        <v>10.2285</v>
      </c>
      <c r="K57" s="17">
        <f t="shared" si="7"/>
        <v>1.02285</v>
      </c>
      <c r="L57" s="3">
        <v>28.73108</v>
      </c>
      <c r="M57" s="12">
        <f t="shared" si="5"/>
        <v>-8.00780379041229</v>
      </c>
      <c r="N57" s="1">
        <f t="shared" si="12"/>
        <v>3.3640057445584336E-06</v>
      </c>
      <c r="O57" s="1"/>
      <c r="P57" s="1"/>
      <c r="Q57" s="1"/>
      <c r="R57" s="1"/>
      <c r="S57" s="1"/>
      <c r="T57" s="1"/>
    </row>
    <row r="58" spans="1:20" ht="12.75">
      <c r="A58" s="1">
        <f t="shared" si="17"/>
        <v>0.6529906504543188</v>
      </c>
      <c r="B58" s="1">
        <f t="shared" si="18"/>
        <v>0.3470093495456812</v>
      </c>
      <c r="C58" s="1">
        <f t="shared" si="19"/>
        <v>1.94494869912</v>
      </c>
      <c r="D58" s="1">
        <f t="shared" si="20"/>
        <v>1.8817667342659234</v>
      </c>
      <c r="E58" s="1"/>
      <c r="F58" s="1"/>
      <c r="G58" s="1"/>
      <c r="H58" s="1"/>
      <c r="I58" s="1"/>
      <c r="J58" s="17">
        <f>0.0000104079*1000000</f>
        <v>10.407900000000001</v>
      </c>
      <c r="K58" s="17">
        <f t="shared" si="7"/>
        <v>1.04079</v>
      </c>
      <c r="L58" s="3">
        <v>28.58742</v>
      </c>
      <c r="M58" s="12">
        <f t="shared" si="5"/>
        <v>-7.6402677077525105</v>
      </c>
      <c r="N58" s="1">
        <f t="shared" si="12"/>
        <v>3.265901203596036E-06</v>
      </c>
      <c r="O58" s="1"/>
      <c r="P58" s="1"/>
      <c r="Q58" s="1"/>
      <c r="R58" s="1"/>
      <c r="S58" s="1"/>
      <c r="T58" s="1"/>
    </row>
    <row r="59" spans="1:20" ht="12.75">
      <c r="A59" s="1">
        <f t="shared" si="17"/>
        <v>0.6553392933154575</v>
      </c>
      <c r="B59" s="1">
        <f t="shared" si="18"/>
        <v>0.3446607066845425</v>
      </c>
      <c r="C59" s="1">
        <f t="shared" si="19"/>
        <v>2.04712909884</v>
      </c>
      <c r="D59" s="1">
        <f t="shared" si="20"/>
        <v>1.9014041363156307</v>
      </c>
      <c r="E59" s="1"/>
      <c r="F59" s="1"/>
      <c r="G59" s="1"/>
      <c r="H59" s="1"/>
      <c r="I59" s="1"/>
      <c r="J59" s="17">
        <f>0.0000105872*1000000</f>
        <v>10.5872</v>
      </c>
      <c r="K59" s="17">
        <f t="shared" si="7"/>
        <v>1.0587199999999999</v>
      </c>
      <c r="L59" s="3">
        <v>28.45043</v>
      </c>
      <c r="M59" s="12">
        <f t="shared" si="5"/>
        <v>-7.280936454849494</v>
      </c>
      <c r="N59" s="1">
        <f t="shared" si="12"/>
        <v>3.1659183776601467E-06</v>
      </c>
      <c r="O59" s="1"/>
      <c r="P59" s="1"/>
      <c r="Q59" s="1"/>
      <c r="R59" s="1"/>
      <c r="S59" s="1"/>
      <c r="T59" s="1"/>
    </row>
    <row r="60" spans="1:20" ht="12.75">
      <c r="A60" s="1">
        <f>O21/0.0000105</f>
        <v>0.6560609710556363</v>
      </c>
      <c r="B60" s="1">
        <f t="shared" si="18"/>
        <v>0.3439390289443637</v>
      </c>
      <c r="C60" s="1">
        <f t="shared" si="19"/>
        <v>2.14930949856</v>
      </c>
      <c r="D60" s="1">
        <f t="shared" si="20"/>
        <v>1.9074920722700597</v>
      </c>
      <c r="E60" s="1"/>
      <c r="F60" s="1"/>
      <c r="G60" s="1"/>
      <c r="H60" s="1"/>
      <c r="I60" s="1"/>
      <c r="J60" s="17">
        <f>0.0000107666*1000000</f>
        <v>10.7666</v>
      </c>
      <c r="K60" s="17">
        <f t="shared" si="7"/>
        <v>1.07666</v>
      </c>
      <c r="L60" s="3">
        <v>28.31981</v>
      </c>
      <c r="M60" s="12">
        <f t="shared" si="5"/>
        <v>-6.94590072504181</v>
      </c>
      <c r="N60" s="1">
        <f t="shared" si="12"/>
        <v>3.0714150370348297E-06</v>
      </c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7">
        <f>0.0000109459*1000000</f>
        <v>10.9459</v>
      </c>
      <c r="K61" s="17">
        <f t="shared" si="7"/>
        <v>1.09459</v>
      </c>
      <c r="L61" s="3">
        <v>28.19527</v>
      </c>
      <c r="M61" s="12">
        <f t="shared" si="5"/>
        <v>25.75874985154259</v>
      </c>
      <c r="N61" s="1">
        <f t="shared" si="12"/>
        <v>-1.1579974782633696E-05</v>
      </c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9"/>
      <c r="K62" s="19"/>
      <c r="L62" s="1"/>
      <c r="M62" s="12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9"/>
      <c r="K63" s="19"/>
      <c r="L63" s="1"/>
      <c r="M63" s="12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9"/>
      <c r="K64" s="19"/>
      <c r="L64" s="1"/>
      <c r="M64" s="12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9"/>
      <c r="K65" s="19"/>
      <c r="L65" s="1"/>
      <c r="M65" s="12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9"/>
      <c r="K66" s="19"/>
      <c r="L66" s="1"/>
      <c r="M66" s="12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9"/>
      <c r="K67" s="19"/>
      <c r="L67" s="1"/>
      <c r="M67" s="12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9"/>
      <c r="K68" s="19"/>
      <c r="L68" s="1"/>
      <c r="M68" s="12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9"/>
      <c r="K69" s="19"/>
      <c r="L69" s="1"/>
      <c r="M69" s="12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9"/>
      <c r="K70" s="19"/>
      <c r="L70" s="1"/>
      <c r="M70" s="12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9"/>
      <c r="K71" s="19"/>
      <c r="L71" s="1"/>
      <c r="M71" s="12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9"/>
      <c r="K72" s="19"/>
      <c r="L72" s="1"/>
      <c r="M72" s="12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9"/>
      <c r="K73" s="19"/>
      <c r="L73" s="1"/>
      <c r="M73" s="12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9"/>
      <c r="K74" s="19"/>
      <c r="L74" s="1"/>
      <c r="M74" s="12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9"/>
      <c r="K75" s="19"/>
      <c r="L75" s="1"/>
      <c r="M75" s="12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9"/>
      <c r="K76" s="19"/>
      <c r="L76" s="1"/>
      <c r="M76" s="12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9"/>
      <c r="K77" s="19"/>
      <c r="L77" s="1"/>
      <c r="M77" s="12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9"/>
      <c r="K78" s="19"/>
      <c r="L78" s="1"/>
      <c r="M78" s="12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9"/>
      <c r="K79" s="19"/>
      <c r="L79" s="1"/>
      <c r="M79" s="12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9"/>
      <c r="K80" s="19"/>
      <c r="L80" s="1"/>
      <c r="M80" s="12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9"/>
      <c r="K81" s="19"/>
      <c r="L81" s="1"/>
      <c r="M81" s="12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9"/>
      <c r="K82" s="19"/>
      <c r="L82" s="1"/>
      <c r="M82" s="12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9"/>
      <c r="K83" s="19"/>
      <c r="L83" s="1"/>
      <c r="M83" s="12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9"/>
      <c r="K84" s="19"/>
      <c r="L84" s="1"/>
      <c r="M84" s="12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9"/>
      <c r="K85" s="19"/>
      <c r="L85" s="1"/>
      <c r="M85" s="12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I86" s="1"/>
      <c r="J86" s="19"/>
      <c r="K86" s="19"/>
      <c r="L86" s="1"/>
      <c r="M86" s="12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I87" s="1"/>
      <c r="J87" s="19"/>
      <c r="K87" s="19"/>
      <c r="L87" s="1"/>
      <c r="M87" s="12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I88" s="1"/>
      <c r="J88" s="19"/>
      <c r="K88" s="19"/>
      <c r="L88" s="1"/>
      <c r="M88" s="12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I89" s="1"/>
      <c r="J89" s="19"/>
      <c r="K89" s="19"/>
      <c r="L89" s="1"/>
      <c r="M89" s="12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I90" s="1"/>
      <c r="J90" s="19"/>
      <c r="K90" s="19"/>
      <c r="L90" s="1"/>
      <c r="M90" s="12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I91" s="1"/>
      <c r="J91" s="19"/>
      <c r="K91" s="19"/>
      <c r="L91" s="1"/>
      <c r="M91" s="12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I92" s="1"/>
      <c r="J92" s="19"/>
      <c r="K92" s="19"/>
      <c r="L92" s="1"/>
      <c r="M92" s="12"/>
      <c r="N92" s="1"/>
      <c r="O92" s="1"/>
      <c r="P92" s="1"/>
      <c r="Q92" s="1"/>
      <c r="R92" s="1"/>
      <c r="S92" s="1"/>
      <c r="T92" s="1"/>
    </row>
  </sheetData>
  <printOptions/>
  <pageMargins left="0.75" right="0.75" top="1" bottom="1" header="0.5" footer="0.5"/>
  <pageSetup horizontalDpi="300" verticalDpi="300" orientation="landscape" paperSize="9" scale="80" r:id="rId1"/>
  <colBreaks count="1" manualBreakCount="1">
    <brk id="16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5" sqref="E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OFC</dc:creator>
  <cp:keywords/>
  <dc:description/>
  <cp:lastModifiedBy>OFC</cp:lastModifiedBy>
  <cp:lastPrinted>2004-11-04T06:40:22Z</cp:lastPrinted>
  <dcterms:created xsi:type="dcterms:W3CDTF">2004-10-28T17:20:54Z</dcterms:created>
  <dcterms:modified xsi:type="dcterms:W3CDTF">2004-11-04T19:37:12Z</dcterms:modified>
  <cp:category/>
  <cp:version/>
  <cp:contentType/>
  <cp:contentStatus/>
</cp:coreProperties>
</file>